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 - CWS Group\Asztal\Horgász\Dinasztia HE\"/>
    </mc:Choice>
  </mc:AlternateContent>
  <xr:revisionPtr revIDLastSave="0" documentId="13_ncr:1_{AF0D2140-72D1-44C0-83A5-682AB9A8EC30}" xr6:coauthVersionLast="36" xr6:coauthVersionMax="36" xr10:uidLastSave="{00000000-0000-0000-0000-000000000000}"/>
  <bookViews>
    <workbookView xWindow="0" yWindow="0" windowWidth="28800" windowHeight="12225" activeTab="1" xr2:uid="{BE825881-B9B3-4921-9A65-A2A138EF7C7D}"/>
  </bookViews>
  <sheets>
    <sheet name="Összesített eredmények" sheetId="1" r:id="rId1"/>
    <sheet name="fogott összsúly" sheetId="11" r:id="rId2"/>
    <sheet name="fogott darabszám" sheetId="10" r:id="rId3"/>
    <sheet name="legnagyobb hal" sheetId="12" r:id="rId4"/>
    <sheet name="helyezési sorrend" sheetId="9" r:id="rId5"/>
    <sheet name="2026.03.29 évnyitó egyéni" sheetId="3" r:id="rId6"/>
    <sheet name="2026.05.9-10 20 órás páros" sheetId="6" r:id="rId7"/>
    <sheet name="2026.06.07 nyári egyéni" sheetId="5" r:id="rId8"/>
    <sheet name="2026.08.8-9. éjszakai páros" sheetId="7" r:id="rId9"/>
    <sheet name="2026.09.20. évzáró egyéni" sheetId="8" r:id="rId10"/>
  </sheets>
  <definedNames>
    <definedName name="_xlnm._FilterDatabase" localSheetId="7" hidden="1">'2026.06.07 nyári egyéni'!$A$1:$H$26</definedName>
    <definedName name="_xlnm._FilterDatabase" localSheetId="0" hidden="1">'Összesített eredmények'!$A$3:$AI$40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3" i="1" l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" i="1"/>
  <c r="B4" i="9"/>
  <c r="C4" i="9"/>
  <c r="D4" i="9"/>
  <c r="E4" i="9"/>
  <c r="F4" i="9"/>
  <c r="B5" i="9"/>
  <c r="C5" i="9"/>
  <c r="D5" i="9"/>
  <c r="E5" i="9"/>
  <c r="F5" i="9"/>
  <c r="B6" i="9"/>
  <c r="C6" i="9"/>
  <c r="D6" i="9"/>
  <c r="E6" i="9"/>
  <c r="F6" i="9"/>
  <c r="B7" i="9"/>
  <c r="C7" i="9"/>
  <c r="D7" i="9"/>
  <c r="E7" i="9"/>
  <c r="F7" i="9"/>
  <c r="B8" i="9"/>
  <c r="C8" i="9"/>
  <c r="D8" i="9"/>
  <c r="E8" i="9"/>
  <c r="F8" i="9"/>
  <c r="B9" i="9"/>
  <c r="C9" i="9"/>
  <c r="D9" i="9"/>
  <c r="E9" i="9"/>
  <c r="F9" i="9"/>
  <c r="B10" i="9"/>
  <c r="C10" i="9"/>
  <c r="D10" i="9"/>
  <c r="E10" i="9"/>
  <c r="F10" i="9"/>
  <c r="B11" i="9"/>
  <c r="C11" i="9"/>
  <c r="D11" i="9"/>
  <c r="E11" i="9"/>
  <c r="F11" i="9"/>
  <c r="B12" i="9"/>
  <c r="C12" i="9"/>
  <c r="D12" i="9"/>
  <c r="E12" i="9"/>
  <c r="F12" i="9"/>
  <c r="B13" i="9"/>
  <c r="C13" i="9"/>
  <c r="D13" i="9"/>
  <c r="E13" i="9"/>
  <c r="F13" i="9"/>
  <c r="B14" i="9"/>
  <c r="I14" i="9" s="1"/>
  <c r="C14" i="9"/>
  <c r="D14" i="9"/>
  <c r="E14" i="9"/>
  <c r="F14" i="9"/>
  <c r="B15" i="9"/>
  <c r="C15" i="9"/>
  <c r="D15" i="9"/>
  <c r="E15" i="9"/>
  <c r="F15" i="9"/>
  <c r="B16" i="9"/>
  <c r="C16" i="9"/>
  <c r="D16" i="9"/>
  <c r="E16" i="9"/>
  <c r="F16" i="9"/>
  <c r="B17" i="9"/>
  <c r="C17" i="9"/>
  <c r="D17" i="9"/>
  <c r="E17" i="9"/>
  <c r="F17" i="9"/>
  <c r="B18" i="9"/>
  <c r="C18" i="9"/>
  <c r="D18" i="9"/>
  <c r="E18" i="9"/>
  <c r="F18" i="9"/>
  <c r="B19" i="9"/>
  <c r="C19" i="9"/>
  <c r="D19" i="9"/>
  <c r="E19" i="9"/>
  <c r="F19" i="9"/>
  <c r="B20" i="9"/>
  <c r="C20" i="9"/>
  <c r="D20" i="9"/>
  <c r="E20" i="9"/>
  <c r="F20" i="9"/>
  <c r="B21" i="9"/>
  <c r="C21" i="9"/>
  <c r="D21" i="9"/>
  <c r="E21" i="9"/>
  <c r="F21" i="9"/>
  <c r="B22" i="9"/>
  <c r="C22" i="9"/>
  <c r="D22" i="9"/>
  <c r="E22" i="9"/>
  <c r="F22" i="9"/>
  <c r="B23" i="9"/>
  <c r="C23" i="9"/>
  <c r="D23" i="9"/>
  <c r="E23" i="9"/>
  <c r="F23" i="9"/>
  <c r="B24" i="9"/>
  <c r="C24" i="9"/>
  <c r="D24" i="9"/>
  <c r="E24" i="9"/>
  <c r="F24" i="9"/>
  <c r="B25" i="9"/>
  <c r="C25" i="9"/>
  <c r="D25" i="9"/>
  <c r="E25" i="9"/>
  <c r="F25" i="9"/>
  <c r="B26" i="9"/>
  <c r="C26" i="9"/>
  <c r="D26" i="9"/>
  <c r="E26" i="9"/>
  <c r="F26" i="9"/>
  <c r="B27" i="9"/>
  <c r="C27" i="9"/>
  <c r="D27" i="9"/>
  <c r="E27" i="9"/>
  <c r="F27" i="9"/>
  <c r="B28" i="9"/>
  <c r="C28" i="9"/>
  <c r="D28" i="9"/>
  <c r="E28" i="9"/>
  <c r="F28" i="9"/>
  <c r="B29" i="9"/>
  <c r="C29" i="9"/>
  <c r="D29" i="9"/>
  <c r="E29" i="9"/>
  <c r="F29" i="9"/>
  <c r="B30" i="9"/>
  <c r="C30" i="9"/>
  <c r="D30" i="9"/>
  <c r="E30" i="9"/>
  <c r="F30" i="9"/>
  <c r="B31" i="9"/>
  <c r="C31" i="9"/>
  <c r="D31" i="9"/>
  <c r="E31" i="9"/>
  <c r="F31" i="9"/>
  <c r="B32" i="9"/>
  <c r="C32" i="9"/>
  <c r="D32" i="9"/>
  <c r="E32" i="9"/>
  <c r="F32" i="9"/>
  <c r="B33" i="9"/>
  <c r="C33" i="9"/>
  <c r="D33" i="9"/>
  <c r="E33" i="9"/>
  <c r="F33" i="9"/>
  <c r="B34" i="9"/>
  <c r="C34" i="9"/>
  <c r="D34" i="9"/>
  <c r="E34" i="9"/>
  <c r="F34" i="9"/>
  <c r="B35" i="9"/>
  <c r="C35" i="9"/>
  <c r="D35" i="9"/>
  <c r="E35" i="9"/>
  <c r="F35" i="9"/>
  <c r="B36" i="9"/>
  <c r="C36" i="9"/>
  <c r="D36" i="9"/>
  <c r="E36" i="9"/>
  <c r="F36" i="9"/>
  <c r="B37" i="9"/>
  <c r="C37" i="9"/>
  <c r="D37" i="9"/>
  <c r="E37" i="9"/>
  <c r="F37" i="9"/>
  <c r="B38" i="9"/>
  <c r="C38" i="9"/>
  <c r="D38" i="9"/>
  <c r="E38" i="9"/>
  <c r="F38" i="9"/>
  <c r="B39" i="9"/>
  <c r="C39" i="9"/>
  <c r="D39" i="9"/>
  <c r="E39" i="9"/>
  <c r="F39" i="9"/>
  <c r="B40" i="9"/>
  <c r="C40" i="9"/>
  <c r="D40" i="9"/>
  <c r="I40" i="9" s="1"/>
  <c r="E40" i="9"/>
  <c r="F40" i="9"/>
  <c r="B41" i="9"/>
  <c r="C41" i="9"/>
  <c r="H41" i="9" s="1"/>
  <c r="D41" i="9"/>
  <c r="E41" i="9"/>
  <c r="F41" i="9"/>
  <c r="B42" i="9"/>
  <c r="C42" i="9"/>
  <c r="D42" i="9"/>
  <c r="E42" i="9"/>
  <c r="F42" i="9"/>
  <c r="B43" i="9"/>
  <c r="C43" i="9"/>
  <c r="D43" i="9"/>
  <c r="E43" i="9"/>
  <c r="F43" i="9"/>
  <c r="B44" i="9"/>
  <c r="C44" i="9"/>
  <c r="D44" i="9"/>
  <c r="E44" i="9"/>
  <c r="F44" i="9"/>
  <c r="F3" i="9"/>
  <c r="E3" i="9"/>
  <c r="D3" i="9"/>
  <c r="C3" i="9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B3" i="10"/>
  <c r="C3" i="10"/>
  <c r="D3" i="10"/>
  <c r="E3" i="10" s="1"/>
  <c r="F3" i="10" s="1"/>
  <c r="B4" i="10"/>
  <c r="C4" i="10"/>
  <c r="D4" i="10"/>
  <c r="E4" i="10" s="1"/>
  <c r="F4" i="10" s="1"/>
  <c r="B5" i="10"/>
  <c r="C5" i="10"/>
  <c r="D5" i="10"/>
  <c r="E5" i="10" s="1"/>
  <c r="F5" i="10" s="1"/>
  <c r="B6" i="10"/>
  <c r="C6" i="10"/>
  <c r="D6" i="10"/>
  <c r="E6" i="10" s="1"/>
  <c r="F6" i="10" s="1"/>
  <c r="B7" i="10"/>
  <c r="C7" i="10"/>
  <c r="D7" i="10"/>
  <c r="E7" i="10" s="1"/>
  <c r="F7" i="10" s="1"/>
  <c r="B8" i="10"/>
  <c r="C8" i="10"/>
  <c r="D8" i="10"/>
  <c r="E8" i="10" s="1"/>
  <c r="F8" i="10" s="1"/>
  <c r="B9" i="10"/>
  <c r="C9" i="10"/>
  <c r="D9" i="10"/>
  <c r="E9" i="10" s="1"/>
  <c r="F9" i="10" s="1"/>
  <c r="B10" i="10"/>
  <c r="C10" i="10"/>
  <c r="D10" i="10"/>
  <c r="E10" i="10" s="1"/>
  <c r="F10" i="10" s="1"/>
  <c r="B11" i="10"/>
  <c r="C11" i="10"/>
  <c r="D11" i="10"/>
  <c r="E11" i="10" s="1"/>
  <c r="F11" i="10" s="1"/>
  <c r="B12" i="10"/>
  <c r="C12" i="10"/>
  <c r="D12" i="10"/>
  <c r="E12" i="10" s="1"/>
  <c r="F12" i="10" s="1"/>
  <c r="B13" i="10"/>
  <c r="C13" i="10"/>
  <c r="D13" i="10"/>
  <c r="E13" i="10" s="1"/>
  <c r="F13" i="10" s="1"/>
  <c r="B14" i="10"/>
  <c r="C14" i="10"/>
  <c r="D14" i="10"/>
  <c r="E14" i="10" s="1"/>
  <c r="F14" i="10" s="1"/>
  <c r="B15" i="10"/>
  <c r="C15" i="10"/>
  <c r="D15" i="10"/>
  <c r="E15" i="10" s="1"/>
  <c r="F15" i="10" s="1"/>
  <c r="B16" i="10"/>
  <c r="C16" i="10"/>
  <c r="D16" i="10"/>
  <c r="E16" i="10" s="1"/>
  <c r="F16" i="10" s="1"/>
  <c r="B17" i="10"/>
  <c r="C17" i="10"/>
  <c r="D17" i="10"/>
  <c r="E17" i="10" s="1"/>
  <c r="F17" i="10" s="1"/>
  <c r="B18" i="10"/>
  <c r="C18" i="10"/>
  <c r="D18" i="10"/>
  <c r="E18" i="10" s="1"/>
  <c r="F18" i="10" s="1"/>
  <c r="B19" i="10"/>
  <c r="C19" i="10"/>
  <c r="D19" i="10"/>
  <c r="E19" i="10" s="1"/>
  <c r="F19" i="10" s="1"/>
  <c r="B20" i="10"/>
  <c r="C20" i="10"/>
  <c r="D20" i="10"/>
  <c r="E20" i="10" s="1"/>
  <c r="F20" i="10" s="1"/>
  <c r="B21" i="10"/>
  <c r="C21" i="10"/>
  <c r="D21" i="10"/>
  <c r="E21" i="10" s="1"/>
  <c r="F21" i="10" s="1"/>
  <c r="B22" i="10"/>
  <c r="C22" i="10"/>
  <c r="D22" i="10"/>
  <c r="E22" i="10" s="1"/>
  <c r="F22" i="10" s="1"/>
  <c r="B23" i="10"/>
  <c r="C23" i="10"/>
  <c r="D23" i="10"/>
  <c r="E23" i="10" s="1"/>
  <c r="F23" i="10" s="1"/>
  <c r="B24" i="10"/>
  <c r="C24" i="10"/>
  <c r="D24" i="10"/>
  <c r="E24" i="10" s="1"/>
  <c r="F24" i="10" s="1"/>
  <c r="B25" i="10"/>
  <c r="C25" i="10"/>
  <c r="D25" i="10"/>
  <c r="E25" i="10" s="1"/>
  <c r="F25" i="10" s="1"/>
  <c r="B26" i="10"/>
  <c r="C26" i="10"/>
  <c r="D26" i="10"/>
  <c r="E26" i="10" s="1"/>
  <c r="F26" i="10" s="1"/>
  <c r="B27" i="10"/>
  <c r="C27" i="10"/>
  <c r="D27" i="10"/>
  <c r="E27" i="10" s="1"/>
  <c r="F27" i="10" s="1"/>
  <c r="B28" i="10"/>
  <c r="C28" i="10"/>
  <c r="D28" i="10"/>
  <c r="E28" i="10" s="1"/>
  <c r="F28" i="10" s="1"/>
  <c r="B29" i="10"/>
  <c r="C29" i="10"/>
  <c r="D29" i="10"/>
  <c r="E29" i="10" s="1"/>
  <c r="F29" i="10" s="1"/>
  <c r="B30" i="10"/>
  <c r="C30" i="10"/>
  <c r="D30" i="10"/>
  <c r="E30" i="10" s="1"/>
  <c r="F30" i="10" s="1"/>
  <c r="B31" i="10"/>
  <c r="C31" i="10"/>
  <c r="D31" i="10"/>
  <c r="E31" i="10" s="1"/>
  <c r="F31" i="10" s="1"/>
  <c r="B32" i="10"/>
  <c r="C32" i="10"/>
  <c r="D32" i="10"/>
  <c r="E32" i="10" s="1"/>
  <c r="F32" i="10" s="1"/>
  <c r="B33" i="10"/>
  <c r="C33" i="10"/>
  <c r="D33" i="10"/>
  <c r="E33" i="10" s="1"/>
  <c r="F33" i="10" s="1"/>
  <c r="B34" i="10"/>
  <c r="C34" i="10"/>
  <c r="D34" i="10"/>
  <c r="E34" i="10" s="1"/>
  <c r="F34" i="10" s="1"/>
  <c r="B35" i="10"/>
  <c r="C35" i="10"/>
  <c r="D35" i="10"/>
  <c r="E35" i="10" s="1"/>
  <c r="F35" i="10" s="1"/>
  <c r="B36" i="10"/>
  <c r="C36" i="10"/>
  <c r="D36" i="10"/>
  <c r="E36" i="10" s="1"/>
  <c r="F36" i="10" s="1"/>
  <c r="B37" i="10"/>
  <c r="C37" i="10"/>
  <c r="D37" i="10"/>
  <c r="E37" i="10" s="1"/>
  <c r="F37" i="10" s="1"/>
  <c r="B38" i="10"/>
  <c r="C38" i="10"/>
  <c r="D38" i="10"/>
  <c r="E38" i="10" s="1"/>
  <c r="F38" i="10" s="1"/>
  <c r="B39" i="10"/>
  <c r="C39" i="10"/>
  <c r="D39" i="10"/>
  <c r="E39" i="10" s="1"/>
  <c r="F39" i="10" s="1"/>
  <c r="B40" i="10"/>
  <c r="C40" i="10"/>
  <c r="D40" i="10"/>
  <c r="E40" i="10" s="1"/>
  <c r="F40" i="10" s="1"/>
  <c r="B41" i="10"/>
  <c r="C41" i="10"/>
  <c r="D41" i="10"/>
  <c r="E41" i="10" s="1"/>
  <c r="F41" i="10" s="1"/>
  <c r="B42" i="10"/>
  <c r="C42" i="10"/>
  <c r="D42" i="10"/>
  <c r="E42" i="10" s="1"/>
  <c r="F42" i="10" s="1"/>
  <c r="B43" i="10"/>
  <c r="C43" i="10"/>
  <c r="D43" i="10"/>
  <c r="E43" i="10" s="1"/>
  <c r="F43" i="10" s="1"/>
  <c r="D30" i="11"/>
  <c r="B38" i="11"/>
  <c r="C38" i="11"/>
  <c r="D38" i="11"/>
  <c r="E38" i="11"/>
  <c r="F38" i="11"/>
  <c r="B39" i="11"/>
  <c r="C39" i="11"/>
  <c r="D39" i="11"/>
  <c r="E39" i="11"/>
  <c r="F39" i="11"/>
  <c r="B40" i="11"/>
  <c r="C40" i="11"/>
  <c r="D40" i="11"/>
  <c r="E40" i="11"/>
  <c r="F40" i="11"/>
  <c r="B41" i="11"/>
  <c r="C41" i="11"/>
  <c r="D41" i="11"/>
  <c r="E41" i="11"/>
  <c r="F41" i="11"/>
  <c r="B42" i="11"/>
  <c r="C42" i="11"/>
  <c r="D42" i="11"/>
  <c r="E42" i="11"/>
  <c r="F42" i="11"/>
  <c r="B43" i="11"/>
  <c r="C43" i="11"/>
  <c r="D43" i="11"/>
  <c r="E43" i="11"/>
  <c r="F43" i="11"/>
  <c r="S5" i="1"/>
  <c r="S6" i="1"/>
  <c r="S7" i="1"/>
  <c r="S8" i="1"/>
  <c r="S9" i="1"/>
  <c r="S10" i="1"/>
  <c r="S12" i="1"/>
  <c r="S13" i="1"/>
  <c r="S14" i="1"/>
  <c r="S15" i="1"/>
  <c r="S16" i="1"/>
  <c r="S17" i="1"/>
  <c r="S18" i="1"/>
  <c r="S19" i="1"/>
  <c r="S20" i="1"/>
  <c r="S22" i="1"/>
  <c r="S23" i="1"/>
  <c r="S24" i="1"/>
  <c r="S26" i="1"/>
  <c r="S27" i="1"/>
  <c r="S28" i="1"/>
  <c r="S29" i="1"/>
  <c r="S30" i="1"/>
  <c r="S31" i="1"/>
  <c r="S33" i="1"/>
  <c r="S34" i="1"/>
  <c r="S35" i="1"/>
  <c r="S36" i="1"/>
  <c r="S37" i="1"/>
  <c r="S38" i="1"/>
  <c r="S39" i="1"/>
  <c r="S40" i="1"/>
  <c r="S41" i="1"/>
  <c r="S42" i="1"/>
  <c r="S44" i="1"/>
  <c r="S45" i="1"/>
  <c r="S25" i="1"/>
  <c r="S43" i="1"/>
  <c r="S32" i="1"/>
  <c r="S11" i="1"/>
  <c r="S21" i="1"/>
  <c r="S4" i="1"/>
  <c r="M5" i="1"/>
  <c r="M6" i="1"/>
  <c r="M7" i="1"/>
  <c r="M8" i="1"/>
  <c r="M9" i="1"/>
  <c r="M10" i="1"/>
  <c r="M12" i="1"/>
  <c r="M13" i="1"/>
  <c r="M14" i="1"/>
  <c r="M15" i="1"/>
  <c r="M16" i="1"/>
  <c r="M17" i="1"/>
  <c r="M18" i="1"/>
  <c r="M19" i="1"/>
  <c r="M20" i="1"/>
  <c r="M22" i="1"/>
  <c r="M23" i="1"/>
  <c r="M24" i="1"/>
  <c r="M26" i="1"/>
  <c r="M27" i="1"/>
  <c r="M28" i="1"/>
  <c r="M29" i="1"/>
  <c r="M30" i="1"/>
  <c r="M31" i="1"/>
  <c r="M33" i="1"/>
  <c r="M34" i="1"/>
  <c r="M35" i="1"/>
  <c r="M36" i="1"/>
  <c r="M37" i="1"/>
  <c r="M38" i="1"/>
  <c r="M39" i="1"/>
  <c r="M40" i="1"/>
  <c r="M41" i="1"/>
  <c r="M42" i="1"/>
  <c r="M44" i="1"/>
  <c r="M45" i="1"/>
  <c r="M25" i="1"/>
  <c r="M43" i="1"/>
  <c r="M32" i="1"/>
  <c r="M11" i="1"/>
  <c r="M21" i="1"/>
  <c r="M4" i="1"/>
  <c r="G5" i="1"/>
  <c r="G6" i="1"/>
  <c r="G7" i="1"/>
  <c r="G8" i="1"/>
  <c r="G9" i="1"/>
  <c r="G10" i="1"/>
  <c r="G12" i="1"/>
  <c r="G13" i="1"/>
  <c r="G14" i="1"/>
  <c r="G15" i="1"/>
  <c r="G16" i="1"/>
  <c r="G17" i="1"/>
  <c r="G18" i="1"/>
  <c r="G19" i="1"/>
  <c r="G20" i="1"/>
  <c r="G22" i="1"/>
  <c r="G23" i="1"/>
  <c r="G24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4" i="1"/>
  <c r="G45" i="1"/>
  <c r="G25" i="1"/>
  <c r="G43" i="1"/>
  <c r="G32" i="1"/>
  <c r="G11" i="1"/>
  <c r="G21" i="1"/>
  <c r="G4" i="1"/>
  <c r="H25" i="1"/>
  <c r="I25" i="1"/>
  <c r="J25" i="1"/>
  <c r="K25" i="1"/>
  <c r="L25" i="1"/>
  <c r="N25" i="1"/>
  <c r="O25" i="1"/>
  <c r="P25" i="1"/>
  <c r="Q25" i="1"/>
  <c r="R25" i="1"/>
  <c r="T25" i="1"/>
  <c r="U25" i="1"/>
  <c r="V25" i="1"/>
  <c r="W25" i="1"/>
  <c r="X25" i="1"/>
  <c r="Z25" i="1"/>
  <c r="AA25" i="1"/>
  <c r="AB25" i="1"/>
  <c r="AC25" i="1"/>
  <c r="AD25" i="1"/>
  <c r="H43" i="1"/>
  <c r="I43" i="1"/>
  <c r="J43" i="1"/>
  <c r="K43" i="1"/>
  <c r="L43" i="1"/>
  <c r="N43" i="1"/>
  <c r="O43" i="1"/>
  <c r="P43" i="1"/>
  <c r="Q43" i="1"/>
  <c r="R43" i="1"/>
  <c r="T43" i="1"/>
  <c r="U43" i="1"/>
  <c r="V43" i="1"/>
  <c r="W43" i="1"/>
  <c r="X43" i="1"/>
  <c r="Z43" i="1"/>
  <c r="AA43" i="1"/>
  <c r="AB43" i="1"/>
  <c r="AC43" i="1"/>
  <c r="AD43" i="1"/>
  <c r="H32" i="1"/>
  <c r="I32" i="1"/>
  <c r="J32" i="1"/>
  <c r="K32" i="1"/>
  <c r="L32" i="1"/>
  <c r="N32" i="1"/>
  <c r="O32" i="1"/>
  <c r="P32" i="1"/>
  <c r="Q32" i="1"/>
  <c r="R32" i="1"/>
  <c r="T32" i="1"/>
  <c r="U32" i="1"/>
  <c r="V32" i="1"/>
  <c r="W32" i="1"/>
  <c r="X32" i="1"/>
  <c r="Z32" i="1"/>
  <c r="AA32" i="1"/>
  <c r="AB32" i="1"/>
  <c r="AC32" i="1"/>
  <c r="AD32" i="1"/>
  <c r="H11" i="1"/>
  <c r="I11" i="1"/>
  <c r="J11" i="1"/>
  <c r="K11" i="1"/>
  <c r="L11" i="1"/>
  <c r="N11" i="1"/>
  <c r="O11" i="1"/>
  <c r="P11" i="1"/>
  <c r="Q11" i="1"/>
  <c r="R11" i="1"/>
  <c r="T11" i="1"/>
  <c r="U11" i="1"/>
  <c r="V11" i="1"/>
  <c r="W11" i="1"/>
  <c r="X11" i="1"/>
  <c r="Z11" i="1"/>
  <c r="AA11" i="1"/>
  <c r="AB11" i="1"/>
  <c r="AC11" i="1"/>
  <c r="AD11" i="1"/>
  <c r="H21" i="1"/>
  <c r="I21" i="1"/>
  <c r="J21" i="1"/>
  <c r="K21" i="1"/>
  <c r="L21" i="1"/>
  <c r="N21" i="1"/>
  <c r="O21" i="1"/>
  <c r="P21" i="1"/>
  <c r="Q21" i="1"/>
  <c r="R21" i="1"/>
  <c r="T21" i="1"/>
  <c r="U21" i="1"/>
  <c r="V21" i="1"/>
  <c r="W21" i="1"/>
  <c r="X21" i="1"/>
  <c r="Z21" i="1"/>
  <c r="AA21" i="1"/>
  <c r="AB21" i="1"/>
  <c r="AC21" i="1"/>
  <c r="AD21" i="1"/>
  <c r="B25" i="1"/>
  <c r="E25" i="1"/>
  <c r="F25" i="1"/>
  <c r="B43" i="1"/>
  <c r="E43" i="1"/>
  <c r="F43" i="1"/>
  <c r="B32" i="1"/>
  <c r="AI32" i="1" s="1"/>
  <c r="E32" i="1"/>
  <c r="F32" i="1"/>
  <c r="B11" i="1"/>
  <c r="E11" i="1"/>
  <c r="F11" i="1"/>
  <c r="B21" i="1"/>
  <c r="E21" i="1"/>
  <c r="F21" i="1"/>
  <c r="AP42" i="1"/>
  <c r="AO42" i="1"/>
  <c r="AN42" i="1"/>
  <c r="AP41" i="1"/>
  <c r="AO41" i="1"/>
  <c r="AN41" i="1"/>
  <c r="AP43" i="1"/>
  <c r="AO43" i="1"/>
  <c r="AN43" i="1"/>
  <c r="I26" i="9" l="1"/>
  <c r="H40" i="9"/>
  <c r="H38" i="9"/>
  <c r="H36" i="9"/>
  <c r="H34" i="9"/>
  <c r="H32" i="9"/>
  <c r="I30" i="9"/>
  <c r="H29" i="9"/>
  <c r="H28" i="9"/>
  <c r="H25" i="9"/>
  <c r="G24" i="9"/>
  <c r="I21" i="9"/>
  <c r="H17" i="9"/>
  <c r="H12" i="9"/>
  <c r="G11" i="9"/>
  <c r="G8" i="9"/>
  <c r="I5" i="9"/>
  <c r="H30" i="9"/>
  <c r="I43" i="10"/>
  <c r="I35" i="10"/>
  <c r="H26" i="9"/>
  <c r="I25" i="9"/>
  <c r="I24" i="9"/>
  <c r="G22" i="9"/>
  <c r="G21" i="9"/>
  <c r="H20" i="9"/>
  <c r="I18" i="9"/>
  <c r="I17" i="9"/>
  <c r="H16" i="9"/>
  <c r="I13" i="9"/>
  <c r="G12" i="9"/>
  <c r="G10" i="9"/>
  <c r="I9" i="9"/>
  <c r="H8" i="9"/>
  <c r="H6" i="9"/>
  <c r="H5" i="9"/>
  <c r="I4" i="9"/>
  <c r="J41" i="10"/>
  <c r="I41" i="11"/>
  <c r="J40" i="10"/>
  <c r="J36" i="10"/>
  <c r="J28" i="10"/>
  <c r="J20" i="10"/>
  <c r="K16" i="10"/>
  <c r="I12" i="10"/>
  <c r="I8" i="10"/>
  <c r="I40" i="11"/>
  <c r="K41" i="10"/>
  <c r="K37" i="10"/>
  <c r="K33" i="10"/>
  <c r="K25" i="10"/>
  <c r="I18" i="10"/>
  <c r="J37" i="10"/>
  <c r="K43" i="11"/>
  <c r="J41" i="11"/>
  <c r="K38" i="11"/>
  <c r="I42" i="10"/>
  <c r="I38" i="10"/>
  <c r="J31" i="10"/>
  <c r="J23" i="10"/>
  <c r="I6" i="10"/>
  <c r="G42" i="9"/>
  <c r="I38" i="9"/>
  <c r="H37" i="9"/>
  <c r="G34" i="9"/>
  <c r="H33" i="9"/>
  <c r="I39" i="10"/>
  <c r="I15" i="10"/>
  <c r="J11" i="10"/>
  <c r="I7" i="10"/>
  <c r="K4" i="10"/>
  <c r="K3" i="10"/>
  <c r="I39" i="11"/>
  <c r="J39" i="11"/>
  <c r="J34" i="10"/>
  <c r="K34" i="10"/>
  <c r="J30" i="10"/>
  <c r="K30" i="10"/>
  <c r="I17" i="10"/>
  <c r="J17" i="10"/>
  <c r="I34" i="10"/>
  <c r="K28" i="10"/>
  <c r="K12" i="10"/>
  <c r="J7" i="10"/>
  <c r="I42" i="11"/>
  <c r="I38" i="11"/>
  <c r="K31" i="10"/>
  <c r="K27" i="10"/>
  <c r="K23" i="10"/>
  <c r="J18" i="10"/>
  <c r="K18" i="10"/>
  <c r="I13" i="10"/>
  <c r="J13" i="10"/>
  <c r="I9" i="10"/>
  <c r="J9" i="10"/>
  <c r="I4" i="10"/>
  <c r="K43" i="10"/>
  <c r="J42" i="10"/>
  <c r="I41" i="10"/>
  <c r="K39" i="10"/>
  <c r="J38" i="10"/>
  <c r="I37" i="10"/>
  <c r="K35" i="10"/>
  <c r="I31" i="10"/>
  <c r="I23" i="10"/>
  <c r="K17" i="10"/>
  <c r="J12" i="10"/>
  <c r="K9" i="10"/>
  <c r="J4" i="10"/>
  <c r="J38" i="11"/>
  <c r="I43" i="11"/>
  <c r="J43" i="11"/>
  <c r="J26" i="10"/>
  <c r="K26" i="10"/>
  <c r="J22" i="10"/>
  <c r="K22" i="10"/>
  <c r="K7" i="10"/>
  <c r="K42" i="10"/>
  <c r="I40" i="10"/>
  <c r="K38" i="10"/>
  <c r="I36" i="10"/>
  <c r="I26" i="10"/>
  <c r="K20" i="10"/>
  <c r="J15" i="10"/>
  <c r="I10" i="10"/>
  <c r="K41" i="11"/>
  <c r="I32" i="10"/>
  <c r="I28" i="10"/>
  <c r="I24" i="10"/>
  <c r="I20" i="10"/>
  <c r="K19" i="10"/>
  <c r="K15" i="10"/>
  <c r="J14" i="10"/>
  <c r="K14" i="10"/>
  <c r="J10" i="10"/>
  <c r="K10" i="10"/>
  <c r="I5" i="10"/>
  <c r="J5" i="10"/>
  <c r="J43" i="10"/>
  <c r="K40" i="10"/>
  <c r="J39" i="10"/>
  <c r="K36" i="10"/>
  <c r="J35" i="10"/>
  <c r="K32" i="10"/>
  <c r="I30" i="10"/>
  <c r="J27" i="10"/>
  <c r="K24" i="10"/>
  <c r="I22" i="10"/>
  <c r="J19" i="10"/>
  <c r="I14" i="10"/>
  <c r="K8" i="10"/>
  <c r="J3" i="10"/>
  <c r="K42" i="11"/>
  <c r="J40" i="11"/>
  <c r="K40" i="11"/>
  <c r="I33" i="10"/>
  <c r="J33" i="10"/>
  <c r="I29" i="10"/>
  <c r="J29" i="10"/>
  <c r="I25" i="10"/>
  <c r="J25" i="10"/>
  <c r="I21" i="10"/>
  <c r="J21" i="10"/>
  <c r="I16" i="10"/>
  <c r="K11" i="10"/>
  <c r="J6" i="10"/>
  <c r="K6" i="10"/>
  <c r="J32" i="10"/>
  <c r="K29" i="10"/>
  <c r="I27" i="10"/>
  <c r="J24" i="10"/>
  <c r="K21" i="10"/>
  <c r="I19" i="10"/>
  <c r="J16" i="10"/>
  <c r="K13" i="10"/>
  <c r="I11" i="10"/>
  <c r="J8" i="10"/>
  <c r="K5" i="10"/>
  <c r="I3" i="10"/>
  <c r="J42" i="11"/>
  <c r="K39" i="11"/>
  <c r="I44" i="9"/>
  <c r="G27" i="9"/>
  <c r="G23" i="9"/>
  <c r="G19" i="9"/>
  <c r="G15" i="9"/>
  <c r="G7" i="9"/>
  <c r="G40" i="9"/>
  <c r="I36" i="9"/>
  <c r="G32" i="9"/>
  <c r="G28" i="9"/>
  <c r="G20" i="9"/>
  <c r="H13" i="9"/>
  <c r="G4" i="9"/>
  <c r="H24" i="9"/>
  <c r="J24" i="9" s="1"/>
  <c r="AH25" i="1" s="1"/>
  <c r="G44" i="9"/>
  <c r="I16" i="9"/>
  <c r="H9" i="9"/>
  <c r="H42" i="9"/>
  <c r="G43" i="9"/>
  <c r="I41" i="9"/>
  <c r="H22" i="9"/>
  <c r="H18" i="9"/>
  <c r="H14" i="9"/>
  <c r="H10" i="9"/>
  <c r="G39" i="9"/>
  <c r="I37" i="9"/>
  <c r="G35" i="9"/>
  <c r="I33" i="9"/>
  <c r="G31" i="9"/>
  <c r="I29" i="9"/>
  <c r="J40" i="9"/>
  <c r="AH41" i="1" s="1"/>
  <c r="G38" i="9"/>
  <c r="I32" i="9"/>
  <c r="J32" i="9" s="1"/>
  <c r="AH33" i="1" s="1"/>
  <c r="G30" i="9"/>
  <c r="J30" i="9" s="1"/>
  <c r="AH31" i="1" s="1"/>
  <c r="G26" i="9"/>
  <c r="H21" i="9"/>
  <c r="G18" i="9"/>
  <c r="G14" i="9"/>
  <c r="I8" i="9"/>
  <c r="G6" i="9"/>
  <c r="I43" i="9"/>
  <c r="G41" i="9"/>
  <c r="I39" i="9"/>
  <c r="G37" i="9"/>
  <c r="I35" i="9"/>
  <c r="G33" i="9"/>
  <c r="I31" i="9"/>
  <c r="G29" i="9"/>
  <c r="I27" i="9"/>
  <c r="G25" i="9"/>
  <c r="J25" i="9" s="1"/>
  <c r="AH26" i="1" s="1"/>
  <c r="I23" i="9"/>
  <c r="I19" i="9"/>
  <c r="G17" i="9"/>
  <c r="I15" i="9"/>
  <c r="G13" i="9"/>
  <c r="I11" i="9"/>
  <c r="G9" i="9"/>
  <c r="I7" i="9"/>
  <c r="G5" i="9"/>
  <c r="J5" i="9" s="1"/>
  <c r="AH6" i="1" s="1"/>
  <c r="H4" i="9"/>
  <c r="I28" i="9"/>
  <c r="I20" i="9"/>
  <c r="I12" i="9"/>
  <c r="J12" i="9" s="1"/>
  <c r="AH13" i="1" s="1"/>
  <c r="H44" i="9"/>
  <c r="I42" i="9"/>
  <c r="H39" i="9"/>
  <c r="G36" i="9"/>
  <c r="H35" i="9"/>
  <c r="I34" i="9"/>
  <c r="H31" i="9"/>
  <c r="H27" i="9"/>
  <c r="H23" i="9"/>
  <c r="I22" i="9"/>
  <c r="H19" i="9"/>
  <c r="G16" i="9"/>
  <c r="H15" i="9"/>
  <c r="H11" i="9"/>
  <c r="I10" i="9"/>
  <c r="H7" i="9"/>
  <c r="I6" i="9"/>
  <c r="H43" i="9"/>
  <c r="AF43" i="1"/>
  <c r="AG25" i="1"/>
  <c r="AF21" i="1"/>
  <c r="AF25" i="1"/>
  <c r="AI11" i="1"/>
  <c r="AG11" i="1"/>
  <c r="AG43" i="1"/>
  <c r="AI21" i="1"/>
  <c r="AF11" i="1"/>
  <c r="AF32" i="1"/>
  <c r="AG32" i="1"/>
  <c r="AI43" i="1"/>
  <c r="AI25" i="1"/>
  <c r="AG21" i="1"/>
  <c r="R2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1" i="5"/>
  <c r="R5" i="1"/>
  <c r="R6" i="1"/>
  <c r="R7" i="1"/>
  <c r="R8" i="1"/>
  <c r="R9" i="1"/>
  <c r="R10" i="1"/>
  <c r="R12" i="1"/>
  <c r="R13" i="1"/>
  <c r="R14" i="1"/>
  <c r="R15" i="1"/>
  <c r="R16" i="1"/>
  <c r="R17" i="1"/>
  <c r="R18" i="1"/>
  <c r="R19" i="1"/>
  <c r="R20" i="1"/>
  <c r="R22" i="1"/>
  <c r="R23" i="1"/>
  <c r="R24" i="1"/>
  <c r="R26" i="1"/>
  <c r="R27" i="1"/>
  <c r="R28" i="1"/>
  <c r="R29" i="1"/>
  <c r="R30" i="1"/>
  <c r="R31" i="1"/>
  <c r="R33" i="1"/>
  <c r="R34" i="1"/>
  <c r="R35" i="1"/>
  <c r="R36" i="1"/>
  <c r="R37" i="1"/>
  <c r="R38" i="1"/>
  <c r="R39" i="1"/>
  <c r="R40" i="1"/>
  <c r="R41" i="1"/>
  <c r="R42" i="1"/>
  <c r="R44" i="1"/>
  <c r="R45" i="1"/>
  <c r="R4" i="1"/>
  <c r="G40" i="11" l="1"/>
  <c r="G41" i="11"/>
  <c r="J23" i="9"/>
  <c r="AH24" i="1" s="1"/>
  <c r="J21" i="9"/>
  <c r="AH22" i="1" s="1"/>
  <c r="J38" i="9"/>
  <c r="AH39" i="1" s="1"/>
  <c r="G39" i="10"/>
  <c r="G23" i="10"/>
  <c r="J16" i="9"/>
  <c r="AH17" i="1" s="1"/>
  <c r="J36" i="9"/>
  <c r="AH37" i="1" s="1"/>
  <c r="J10" i="9"/>
  <c r="AH11" i="1" s="1"/>
  <c r="G3" i="10"/>
  <c r="G35" i="10"/>
  <c r="G43" i="10"/>
  <c r="G12" i="10"/>
  <c r="J26" i="9"/>
  <c r="AH27" i="1" s="1"/>
  <c r="J34" i="9"/>
  <c r="AH35" i="1" s="1"/>
  <c r="J9" i="9"/>
  <c r="AH10" i="1" s="1"/>
  <c r="J17" i="9"/>
  <c r="AH18" i="1" s="1"/>
  <c r="G27" i="10"/>
  <c r="G6" i="10"/>
  <c r="G14" i="10"/>
  <c r="G26" i="10"/>
  <c r="G37" i="10"/>
  <c r="G18" i="10"/>
  <c r="J44" i="9"/>
  <c r="AH45" i="1" s="1"/>
  <c r="J29" i="9"/>
  <c r="AH30" i="1" s="1"/>
  <c r="J37" i="9"/>
  <c r="AH38" i="1" s="1"/>
  <c r="G8" i="10"/>
  <c r="G30" i="10"/>
  <c r="G38" i="10"/>
  <c r="J13" i="9"/>
  <c r="AH14" i="1" s="1"/>
  <c r="J8" i="9"/>
  <c r="AH9" i="1" s="1"/>
  <c r="G28" i="10"/>
  <c r="G43" i="11"/>
  <c r="G41" i="10"/>
  <c r="G11" i="10"/>
  <c r="G25" i="10"/>
  <c r="G33" i="10"/>
  <c r="G15" i="10"/>
  <c r="G7" i="10"/>
  <c r="J33" i="9"/>
  <c r="AH34" i="1" s="1"/>
  <c r="J41" i="9"/>
  <c r="AH42" i="1" s="1"/>
  <c r="G32" i="10"/>
  <c r="G40" i="10"/>
  <c r="G17" i="10"/>
  <c r="G42" i="10"/>
  <c r="G21" i="10"/>
  <c r="G29" i="10"/>
  <c r="G20" i="10"/>
  <c r="G9" i="10"/>
  <c r="G38" i="11"/>
  <c r="J15" i="9"/>
  <c r="AH16" i="1" s="1"/>
  <c r="J35" i="9"/>
  <c r="AH36" i="1" s="1"/>
  <c r="J4" i="9"/>
  <c r="AH5" i="1" s="1"/>
  <c r="J11" i="9"/>
  <c r="AH12" i="1" s="1"/>
  <c r="G19" i="10"/>
  <c r="G5" i="10"/>
  <c r="G24" i="10"/>
  <c r="G10" i="10"/>
  <c r="G36" i="10"/>
  <c r="G42" i="11"/>
  <c r="G34" i="10"/>
  <c r="G39" i="11"/>
  <c r="J7" i="9"/>
  <c r="AH8" i="1" s="1"/>
  <c r="J27" i="9"/>
  <c r="AH28" i="1" s="1"/>
  <c r="G16" i="10"/>
  <c r="G22" i="10"/>
  <c r="G31" i="10"/>
  <c r="G4" i="10"/>
  <c r="G13" i="10"/>
  <c r="J20" i="9"/>
  <c r="AH21" i="1" s="1"/>
  <c r="J14" i="9"/>
  <c r="AH15" i="1" s="1"/>
  <c r="J43" i="9"/>
  <c r="AH44" i="1" s="1"/>
  <c r="J42" i="9"/>
  <c r="AH43" i="1" s="1"/>
  <c r="J28" i="9"/>
  <c r="AH29" i="1" s="1"/>
  <c r="J18" i="9"/>
  <c r="AH19" i="1" s="1"/>
  <c r="J19" i="9"/>
  <c r="AH20" i="1" s="1"/>
  <c r="J31" i="9"/>
  <c r="AH32" i="1" s="1"/>
  <c r="J39" i="9"/>
  <c r="AH40" i="1" s="1"/>
  <c r="J22" i="9"/>
  <c r="AH23" i="1" s="1"/>
  <c r="J6" i="9"/>
  <c r="AH7" i="1" s="1"/>
  <c r="A44" i="11"/>
  <c r="A45" i="11"/>
  <c r="A46" i="11"/>
  <c r="N5" i="1"/>
  <c r="D3" i="11" s="1"/>
  <c r="O5" i="1"/>
  <c r="P5" i="1"/>
  <c r="Q5" i="1"/>
  <c r="N6" i="1"/>
  <c r="O6" i="1"/>
  <c r="P6" i="1"/>
  <c r="Q6" i="1"/>
  <c r="N7" i="1"/>
  <c r="O7" i="1"/>
  <c r="P7" i="1"/>
  <c r="Q7" i="1"/>
  <c r="N8" i="1"/>
  <c r="D6" i="11" s="1"/>
  <c r="O8" i="1"/>
  <c r="P8" i="1"/>
  <c r="Q8" i="1"/>
  <c r="N9" i="1"/>
  <c r="D7" i="11" s="1"/>
  <c r="O9" i="1"/>
  <c r="P9" i="1"/>
  <c r="Q9" i="1"/>
  <c r="N10" i="1"/>
  <c r="O10" i="1"/>
  <c r="P10" i="1"/>
  <c r="Q10" i="1"/>
  <c r="N12" i="1"/>
  <c r="O12" i="1"/>
  <c r="P12" i="1"/>
  <c r="Q12" i="1"/>
  <c r="N13" i="1"/>
  <c r="D10" i="11" s="1"/>
  <c r="O13" i="1"/>
  <c r="P13" i="1"/>
  <c r="Q13" i="1"/>
  <c r="N14" i="1"/>
  <c r="D11" i="11" s="1"/>
  <c r="O14" i="1"/>
  <c r="P14" i="1"/>
  <c r="Q14" i="1"/>
  <c r="N15" i="1"/>
  <c r="O15" i="1"/>
  <c r="P15" i="1"/>
  <c r="Q15" i="1"/>
  <c r="N16" i="1"/>
  <c r="O16" i="1"/>
  <c r="P16" i="1"/>
  <c r="Q16" i="1"/>
  <c r="N17" i="1"/>
  <c r="D14" i="11" s="1"/>
  <c r="O17" i="1"/>
  <c r="P17" i="1"/>
  <c r="Q17" i="1"/>
  <c r="N18" i="1"/>
  <c r="D15" i="11" s="1"/>
  <c r="O18" i="1"/>
  <c r="P18" i="1"/>
  <c r="Q18" i="1"/>
  <c r="N19" i="1"/>
  <c r="O19" i="1"/>
  <c r="P19" i="1"/>
  <c r="Q19" i="1"/>
  <c r="N20" i="1"/>
  <c r="O20" i="1"/>
  <c r="P20" i="1"/>
  <c r="Q20" i="1"/>
  <c r="N22" i="1"/>
  <c r="D18" i="11" s="1"/>
  <c r="O22" i="1"/>
  <c r="P22" i="1"/>
  <c r="Q22" i="1"/>
  <c r="N23" i="1"/>
  <c r="D19" i="11" s="1"/>
  <c r="O23" i="1"/>
  <c r="P23" i="1"/>
  <c r="Q23" i="1"/>
  <c r="N24" i="1"/>
  <c r="O24" i="1"/>
  <c r="P24" i="1"/>
  <c r="Q24" i="1"/>
  <c r="N26" i="1"/>
  <c r="O26" i="1"/>
  <c r="P26" i="1"/>
  <c r="Q26" i="1"/>
  <c r="N27" i="1"/>
  <c r="D22" i="11" s="1"/>
  <c r="O27" i="1"/>
  <c r="P27" i="1"/>
  <c r="Q27" i="1"/>
  <c r="N28" i="1"/>
  <c r="D23" i="11" s="1"/>
  <c r="O28" i="1"/>
  <c r="P28" i="1"/>
  <c r="Q28" i="1"/>
  <c r="N29" i="1"/>
  <c r="D24" i="11" s="1"/>
  <c r="O29" i="1"/>
  <c r="P29" i="1"/>
  <c r="Q29" i="1"/>
  <c r="N30" i="1"/>
  <c r="O30" i="1"/>
  <c r="P30" i="1"/>
  <c r="Q30" i="1"/>
  <c r="N31" i="1"/>
  <c r="D26" i="11" s="1"/>
  <c r="O31" i="1"/>
  <c r="P31" i="1"/>
  <c r="Q31" i="1"/>
  <c r="N33" i="1"/>
  <c r="D27" i="11" s="1"/>
  <c r="O33" i="1"/>
  <c r="P33" i="1"/>
  <c r="Q33" i="1"/>
  <c r="N34" i="1"/>
  <c r="D28" i="11" s="1"/>
  <c r="O34" i="1"/>
  <c r="P34" i="1"/>
  <c r="Q34" i="1"/>
  <c r="N35" i="1"/>
  <c r="O35" i="1"/>
  <c r="P35" i="1"/>
  <c r="Q35" i="1"/>
  <c r="N36" i="1"/>
  <c r="O36" i="1"/>
  <c r="P36" i="1"/>
  <c r="Q36" i="1"/>
  <c r="N37" i="1"/>
  <c r="D31" i="11" s="1"/>
  <c r="O37" i="1"/>
  <c r="P37" i="1"/>
  <c r="Q37" i="1"/>
  <c r="N38" i="1"/>
  <c r="D32" i="11" s="1"/>
  <c r="O38" i="1"/>
  <c r="P38" i="1"/>
  <c r="Q38" i="1"/>
  <c r="N39" i="1"/>
  <c r="O39" i="1"/>
  <c r="P39" i="1"/>
  <c r="Q39" i="1"/>
  <c r="N40" i="1"/>
  <c r="D34" i="11" s="1"/>
  <c r="O40" i="1"/>
  <c r="P40" i="1"/>
  <c r="Q40" i="1"/>
  <c r="N41" i="1"/>
  <c r="D35" i="11" s="1"/>
  <c r="O41" i="1"/>
  <c r="P41" i="1"/>
  <c r="Q41" i="1"/>
  <c r="N42" i="1"/>
  <c r="D36" i="11" s="1"/>
  <c r="O42" i="1"/>
  <c r="P42" i="1"/>
  <c r="Q42" i="1"/>
  <c r="N44" i="1"/>
  <c r="O44" i="1"/>
  <c r="P44" i="1"/>
  <c r="Q44" i="1"/>
  <c r="N45" i="1"/>
  <c r="O45" i="1"/>
  <c r="P45" i="1"/>
  <c r="Q45" i="1"/>
  <c r="Q4" i="1"/>
  <c r="P4" i="1"/>
  <c r="O4" i="1"/>
  <c r="N4" i="1"/>
  <c r="D2" i="11" s="1"/>
  <c r="A44" i="10"/>
  <c r="A45" i="10"/>
  <c r="A46" i="10"/>
  <c r="E46" i="11" l="1"/>
  <c r="D46" i="11"/>
  <c r="B46" i="11"/>
  <c r="F46" i="11"/>
  <c r="C46" i="11"/>
  <c r="B45" i="11"/>
  <c r="F45" i="11"/>
  <c r="E45" i="11"/>
  <c r="C45" i="11"/>
  <c r="D45" i="11"/>
  <c r="C44" i="11"/>
  <c r="B44" i="11"/>
  <c r="F44" i="11"/>
  <c r="D44" i="11"/>
  <c r="E44" i="11"/>
  <c r="B44" i="10"/>
  <c r="C44" i="10"/>
  <c r="D44" i="10"/>
  <c r="E44" i="10" s="1"/>
  <c r="F44" i="10" s="1"/>
  <c r="D46" i="10"/>
  <c r="E46" i="10" s="1"/>
  <c r="F46" i="10" s="1"/>
  <c r="C46" i="10"/>
  <c r="B46" i="10"/>
  <c r="C45" i="10"/>
  <c r="D45" i="10"/>
  <c r="E45" i="10" s="1"/>
  <c r="F45" i="10" s="1"/>
  <c r="B45" i="10"/>
  <c r="D8" i="11"/>
  <c r="D33" i="11"/>
  <c r="D25" i="11"/>
  <c r="D13" i="11"/>
  <c r="D37" i="11"/>
  <c r="D29" i="11"/>
  <c r="D21" i="11"/>
  <c r="D17" i="11"/>
  <c r="D9" i="11"/>
  <c r="D5" i="11"/>
  <c r="D4" i="11"/>
  <c r="D2" i="10"/>
  <c r="E2" i="10" s="1"/>
  <c r="F2" i="10" s="1"/>
  <c r="E23" i="11"/>
  <c r="D20" i="11"/>
  <c r="D16" i="11"/>
  <c r="D12" i="11"/>
  <c r="AN39" i="1"/>
  <c r="AO39" i="1"/>
  <c r="AP39" i="1"/>
  <c r="AN40" i="1"/>
  <c r="AO40" i="1"/>
  <c r="AP40" i="1"/>
  <c r="AN44" i="1"/>
  <c r="AO44" i="1"/>
  <c r="AP44" i="1"/>
  <c r="AN45" i="1"/>
  <c r="AO45" i="1"/>
  <c r="AP45" i="1"/>
  <c r="Z5" i="1"/>
  <c r="F3" i="11" s="1"/>
  <c r="AA5" i="1"/>
  <c r="AB5" i="1"/>
  <c r="AC5" i="1"/>
  <c r="AD5" i="1"/>
  <c r="Z6" i="1"/>
  <c r="F4" i="11" s="1"/>
  <c r="AA6" i="1"/>
  <c r="AB6" i="1"/>
  <c r="AC6" i="1"/>
  <c r="AD6" i="1"/>
  <c r="Z7" i="1"/>
  <c r="F5" i="11" s="1"/>
  <c r="AA7" i="1"/>
  <c r="AB7" i="1"/>
  <c r="AC7" i="1"/>
  <c r="AD7" i="1"/>
  <c r="Z8" i="1"/>
  <c r="F6" i="11" s="1"/>
  <c r="AA8" i="1"/>
  <c r="AB8" i="1"/>
  <c r="AC8" i="1"/>
  <c r="AD8" i="1"/>
  <c r="Z9" i="1"/>
  <c r="F7" i="11" s="1"/>
  <c r="AA9" i="1"/>
  <c r="AB9" i="1"/>
  <c r="AC9" i="1"/>
  <c r="AD9" i="1"/>
  <c r="Z10" i="1"/>
  <c r="F8" i="11" s="1"/>
  <c r="AA10" i="1"/>
  <c r="AB10" i="1"/>
  <c r="AC10" i="1"/>
  <c r="AD10" i="1"/>
  <c r="Z12" i="1"/>
  <c r="F9" i="11" s="1"/>
  <c r="AA12" i="1"/>
  <c r="AB12" i="1"/>
  <c r="AC12" i="1"/>
  <c r="AD12" i="1"/>
  <c r="Z13" i="1"/>
  <c r="AA13" i="1"/>
  <c r="AB13" i="1"/>
  <c r="AC13" i="1"/>
  <c r="AD13" i="1"/>
  <c r="Z14" i="1"/>
  <c r="AA14" i="1"/>
  <c r="AB14" i="1"/>
  <c r="AC14" i="1"/>
  <c r="AD14" i="1"/>
  <c r="Z15" i="1"/>
  <c r="AA15" i="1"/>
  <c r="AB15" i="1"/>
  <c r="AC15" i="1"/>
  <c r="AD15" i="1"/>
  <c r="Z16" i="1"/>
  <c r="AA16" i="1"/>
  <c r="AB16" i="1"/>
  <c r="AC16" i="1"/>
  <c r="AD16" i="1"/>
  <c r="Z17" i="1"/>
  <c r="AA17" i="1"/>
  <c r="AB17" i="1"/>
  <c r="AC17" i="1"/>
  <c r="AD17" i="1"/>
  <c r="Z18" i="1"/>
  <c r="AA18" i="1"/>
  <c r="AB18" i="1"/>
  <c r="AC18" i="1"/>
  <c r="AD18" i="1"/>
  <c r="Z19" i="1"/>
  <c r="AA19" i="1"/>
  <c r="AB19" i="1"/>
  <c r="AC19" i="1"/>
  <c r="AD19" i="1"/>
  <c r="Z20" i="1"/>
  <c r="AA20" i="1"/>
  <c r="AB20" i="1"/>
  <c r="AC20" i="1"/>
  <c r="AD20" i="1"/>
  <c r="Z22" i="1"/>
  <c r="AA22" i="1"/>
  <c r="AB22" i="1"/>
  <c r="AC22" i="1"/>
  <c r="AD22" i="1"/>
  <c r="Z23" i="1"/>
  <c r="F19" i="11" s="1"/>
  <c r="AA23" i="1"/>
  <c r="AB23" i="1"/>
  <c r="AC23" i="1"/>
  <c r="AD23" i="1"/>
  <c r="Z24" i="1"/>
  <c r="AA24" i="1"/>
  <c r="AB24" i="1"/>
  <c r="AC24" i="1"/>
  <c r="AD24" i="1"/>
  <c r="Z26" i="1"/>
  <c r="AA26" i="1"/>
  <c r="AB26" i="1"/>
  <c r="AC26" i="1"/>
  <c r="AD26" i="1"/>
  <c r="Z27" i="1"/>
  <c r="F22" i="11" s="1"/>
  <c r="AA27" i="1"/>
  <c r="AB27" i="1"/>
  <c r="AC27" i="1"/>
  <c r="AD27" i="1"/>
  <c r="Z28" i="1"/>
  <c r="F23" i="11" s="1"/>
  <c r="AA28" i="1"/>
  <c r="AB28" i="1"/>
  <c r="AC28" i="1"/>
  <c r="AD28" i="1"/>
  <c r="Z29" i="1"/>
  <c r="AA29" i="1"/>
  <c r="AB29" i="1"/>
  <c r="AC29" i="1"/>
  <c r="AD29" i="1"/>
  <c r="Z30" i="1"/>
  <c r="AA30" i="1"/>
  <c r="AB30" i="1"/>
  <c r="AC30" i="1"/>
  <c r="AD30" i="1"/>
  <c r="Z31" i="1"/>
  <c r="AA31" i="1"/>
  <c r="AB31" i="1"/>
  <c r="AC31" i="1"/>
  <c r="AD31" i="1"/>
  <c r="Z33" i="1"/>
  <c r="F27" i="11" s="1"/>
  <c r="AA33" i="1"/>
  <c r="AB33" i="1"/>
  <c r="AC33" i="1"/>
  <c r="AD33" i="1"/>
  <c r="Z34" i="1"/>
  <c r="AA34" i="1"/>
  <c r="AB34" i="1"/>
  <c r="AC34" i="1"/>
  <c r="AD34" i="1"/>
  <c r="Z35" i="1"/>
  <c r="AA35" i="1"/>
  <c r="AB35" i="1"/>
  <c r="AC35" i="1"/>
  <c r="AD35" i="1"/>
  <c r="Z36" i="1"/>
  <c r="F30" i="11" s="1"/>
  <c r="AA36" i="1"/>
  <c r="AB36" i="1"/>
  <c r="AC36" i="1"/>
  <c r="AD36" i="1"/>
  <c r="Z37" i="1"/>
  <c r="F31" i="11" s="1"/>
  <c r="AA37" i="1"/>
  <c r="AB37" i="1"/>
  <c r="AC37" i="1"/>
  <c r="AD37" i="1"/>
  <c r="Z38" i="1"/>
  <c r="F32" i="11" s="1"/>
  <c r="AA38" i="1"/>
  <c r="AB38" i="1"/>
  <c r="AC38" i="1"/>
  <c r="AD38" i="1"/>
  <c r="Z39" i="1"/>
  <c r="F33" i="11" s="1"/>
  <c r="AA39" i="1"/>
  <c r="AB39" i="1"/>
  <c r="AC39" i="1"/>
  <c r="AD39" i="1"/>
  <c r="Z40" i="1"/>
  <c r="AA40" i="1"/>
  <c r="AB40" i="1"/>
  <c r="AC40" i="1"/>
  <c r="AD40" i="1"/>
  <c r="Z41" i="1"/>
  <c r="F35" i="11" s="1"/>
  <c r="AA41" i="1"/>
  <c r="AB41" i="1"/>
  <c r="AC41" i="1"/>
  <c r="AD41" i="1"/>
  <c r="Z42" i="1"/>
  <c r="F36" i="11" s="1"/>
  <c r="AA42" i="1"/>
  <c r="AB42" i="1"/>
  <c r="AC42" i="1"/>
  <c r="AD42" i="1"/>
  <c r="Z44" i="1"/>
  <c r="F37" i="11" s="1"/>
  <c r="AA44" i="1"/>
  <c r="AB44" i="1"/>
  <c r="AC44" i="1"/>
  <c r="AD44" i="1"/>
  <c r="Z45" i="1"/>
  <c r="AA45" i="1"/>
  <c r="AB45" i="1"/>
  <c r="AC45" i="1"/>
  <c r="AD45" i="1"/>
  <c r="AD4" i="1"/>
  <c r="AC4" i="1"/>
  <c r="AB4" i="1"/>
  <c r="AA4" i="1"/>
  <c r="Z4" i="1"/>
  <c r="F2" i="11" s="1"/>
  <c r="T5" i="1"/>
  <c r="E3" i="11" s="1"/>
  <c r="U5" i="1"/>
  <c r="V5" i="1"/>
  <c r="W5" i="1"/>
  <c r="X5" i="1"/>
  <c r="T6" i="1"/>
  <c r="E4" i="11" s="1"/>
  <c r="U6" i="1"/>
  <c r="V6" i="1"/>
  <c r="W6" i="1"/>
  <c r="X6" i="1"/>
  <c r="T7" i="1"/>
  <c r="E5" i="11" s="1"/>
  <c r="U7" i="1"/>
  <c r="V7" i="1"/>
  <c r="W7" i="1"/>
  <c r="X7" i="1"/>
  <c r="T8" i="1"/>
  <c r="E6" i="11" s="1"/>
  <c r="U8" i="1"/>
  <c r="V8" i="1"/>
  <c r="W8" i="1"/>
  <c r="X8" i="1"/>
  <c r="T9" i="1"/>
  <c r="E7" i="11" s="1"/>
  <c r="U9" i="1"/>
  <c r="V9" i="1"/>
  <c r="W9" i="1"/>
  <c r="X9" i="1"/>
  <c r="T10" i="1"/>
  <c r="E8" i="11" s="1"/>
  <c r="U10" i="1"/>
  <c r="V10" i="1"/>
  <c r="W10" i="1"/>
  <c r="X10" i="1"/>
  <c r="T12" i="1"/>
  <c r="E9" i="11" s="1"/>
  <c r="U12" i="1"/>
  <c r="V12" i="1"/>
  <c r="W12" i="1"/>
  <c r="X12" i="1"/>
  <c r="T13" i="1"/>
  <c r="U13" i="1"/>
  <c r="V13" i="1"/>
  <c r="W13" i="1"/>
  <c r="X13" i="1"/>
  <c r="T14" i="1"/>
  <c r="U14" i="1"/>
  <c r="V14" i="1"/>
  <c r="W14" i="1"/>
  <c r="X14" i="1"/>
  <c r="T15" i="1"/>
  <c r="U15" i="1"/>
  <c r="V15" i="1"/>
  <c r="W15" i="1"/>
  <c r="X15" i="1"/>
  <c r="T16" i="1"/>
  <c r="U16" i="1"/>
  <c r="V16" i="1"/>
  <c r="W16" i="1"/>
  <c r="X16" i="1"/>
  <c r="T17" i="1"/>
  <c r="U17" i="1"/>
  <c r="V17" i="1"/>
  <c r="W17" i="1"/>
  <c r="X17" i="1"/>
  <c r="T18" i="1"/>
  <c r="U18" i="1"/>
  <c r="V18" i="1"/>
  <c r="W18" i="1"/>
  <c r="X18" i="1"/>
  <c r="T19" i="1"/>
  <c r="U19" i="1"/>
  <c r="V19" i="1"/>
  <c r="W19" i="1"/>
  <c r="X19" i="1"/>
  <c r="T20" i="1"/>
  <c r="U20" i="1"/>
  <c r="V20" i="1"/>
  <c r="W20" i="1"/>
  <c r="X20" i="1"/>
  <c r="T22" i="1"/>
  <c r="U22" i="1"/>
  <c r="V22" i="1"/>
  <c r="W22" i="1"/>
  <c r="X22" i="1"/>
  <c r="T23" i="1"/>
  <c r="E19" i="11" s="1"/>
  <c r="U23" i="1"/>
  <c r="V23" i="1"/>
  <c r="W23" i="1"/>
  <c r="X23" i="1"/>
  <c r="T24" i="1"/>
  <c r="U24" i="1"/>
  <c r="V24" i="1"/>
  <c r="W24" i="1"/>
  <c r="X24" i="1"/>
  <c r="T26" i="1"/>
  <c r="E21" i="11" s="1"/>
  <c r="U26" i="1"/>
  <c r="V26" i="1"/>
  <c r="W26" i="1"/>
  <c r="X26" i="1"/>
  <c r="T27" i="1"/>
  <c r="U27" i="1"/>
  <c r="V27" i="1"/>
  <c r="W27" i="1"/>
  <c r="X27" i="1"/>
  <c r="T28" i="1"/>
  <c r="U28" i="1"/>
  <c r="V28" i="1"/>
  <c r="W28" i="1"/>
  <c r="X28" i="1"/>
  <c r="T29" i="1"/>
  <c r="U29" i="1"/>
  <c r="V29" i="1"/>
  <c r="W29" i="1"/>
  <c r="X29" i="1"/>
  <c r="T30" i="1"/>
  <c r="U30" i="1"/>
  <c r="V30" i="1"/>
  <c r="W30" i="1"/>
  <c r="X30" i="1"/>
  <c r="T31" i="1"/>
  <c r="E26" i="11" s="1"/>
  <c r="U31" i="1"/>
  <c r="V31" i="1"/>
  <c r="W31" i="1"/>
  <c r="X31" i="1"/>
  <c r="T33" i="1"/>
  <c r="U33" i="1"/>
  <c r="V33" i="1"/>
  <c r="W33" i="1"/>
  <c r="X33" i="1"/>
  <c r="T34" i="1"/>
  <c r="U34" i="1"/>
  <c r="V34" i="1"/>
  <c r="W34" i="1"/>
  <c r="X34" i="1"/>
  <c r="T35" i="1"/>
  <c r="U35" i="1"/>
  <c r="V35" i="1"/>
  <c r="W35" i="1"/>
  <c r="X35" i="1"/>
  <c r="T36" i="1"/>
  <c r="E30" i="11" s="1"/>
  <c r="U36" i="1"/>
  <c r="V36" i="1"/>
  <c r="W36" i="1"/>
  <c r="X36" i="1"/>
  <c r="T37" i="1"/>
  <c r="E31" i="11" s="1"/>
  <c r="U37" i="1"/>
  <c r="V37" i="1"/>
  <c r="W37" i="1"/>
  <c r="X37" i="1"/>
  <c r="T38" i="1"/>
  <c r="E32" i="11" s="1"/>
  <c r="U38" i="1"/>
  <c r="V38" i="1"/>
  <c r="W38" i="1"/>
  <c r="X38" i="1"/>
  <c r="T39" i="1"/>
  <c r="E33" i="11" s="1"/>
  <c r="U39" i="1"/>
  <c r="V39" i="1"/>
  <c r="W39" i="1"/>
  <c r="X39" i="1"/>
  <c r="T40" i="1"/>
  <c r="E34" i="11" s="1"/>
  <c r="U40" i="1"/>
  <c r="V40" i="1"/>
  <c r="W40" i="1"/>
  <c r="X40" i="1"/>
  <c r="T41" i="1"/>
  <c r="E35" i="11" s="1"/>
  <c r="U41" i="1"/>
  <c r="V41" i="1"/>
  <c r="W41" i="1"/>
  <c r="X41" i="1"/>
  <c r="T42" i="1"/>
  <c r="E36" i="11" s="1"/>
  <c r="U42" i="1"/>
  <c r="V42" i="1"/>
  <c r="W42" i="1"/>
  <c r="X42" i="1"/>
  <c r="T44" i="1"/>
  <c r="E37" i="11" s="1"/>
  <c r="U44" i="1"/>
  <c r="V44" i="1"/>
  <c r="W44" i="1"/>
  <c r="X44" i="1"/>
  <c r="T45" i="1"/>
  <c r="U45" i="1"/>
  <c r="V45" i="1"/>
  <c r="W45" i="1"/>
  <c r="X45" i="1"/>
  <c r="X4" i="1"/>
  <c r="V4" i="1"/>
  <c r="U4" i="1"/>
  <c r="W4" i="1"/>
  <c r="T4" i="1"/>
  <c r="E2" i="11" s="1"/>
  <c r="I6" i="1"/>
  <c r="J6" i="1"/>
  <c r="K6" i="1"/>
  <c r="L6" i="1"/>
  <c r="I8" i="1"/>
  <c r="J8" i="1"/>
  <c r="K8" i="1"/>
  <c r="L8" i="1"/>
  <c r="I14" i="1"/>
  <c r="J14" i="1"/>
  <c r="K14" i="1"/>
  <c r="L14" i="1"/>
  <c r="I20" i="1"/>
  <c r="J20" i="1"/>
  <c r="K20" i="1"/>
  <c r="L20" i="1"/>
  <c r="I22" i="1"/>
  <c r="J22" i="1"/>
  <c r="K22" i="1"/>
  <c r="L22" i="1"/>
  <c r="I23" i="1"/>
  <c r="J23" i="1"/>
  <c r="K23" i="1"/>
  <c r="L23" i="1"/>
  <c r="I24" i="1"/>
  <c r="J24" i="1"/>
  <c r="K24" i="1"/>
  <c r="L24" i="1"/>
  <c r="I26" i="1"/>
  <c r="J26" i="1"/>
  <c r="K26" i="1"/>
  <c r="L26" i="1"/>
  <c r="I29" i="1"/>
  <c r="J29" i="1"/>
  <c r="K29" i="1"/>
  <c r="L29" i="1"/>
  <c r="I30" i="1"/>
  <c r="J30" i="1"/>
  <c r="K30" i="1"/>
  <c r="L30" i="1"/>
  <c r="I31" i="1"/>
  <c r="J31" i="1"/>
  <c r="K31" i="1"/>
  <c r="L31" i="1"/>
  <c r="I33" i="1"/>
  <c r="J33" i="1"/>
  <c r="K33" i="1"/>
  <c r="L33" i="1"/>
  <c r="I37" i="1"/>
  <c r="J37" i="1"/>
  <c r="K37" i="1"/>
  <c r="L37" i="1"/>
  <c r="I39" i="1"/>
  <c r="J39" i="1"/>
  <c r="K39" i="1"/>
  <c r="L39" i="1"/>
  <c r="I41" i="1"/>
  <c r="J41" i="1"/>
  <c r="K41" i="1"/>
  <c r="L41" i="1"/>
  <c r="I45" i="1"/>
  <c r="J45" i="1"/>
  <c r="K45" i="1"/>
  <c r="L45" i="1"/>
  <c r="I5" i="1"/>
  <c r="J5" i="1"/>
  <c r="K5" i="1"/>
  <c r="L5" i="1"/>
  <c r="I7" i="1"/>
  <c r="J7" i="1"/>
  <c r="K7" i="1"/>
  <c r="L7" i="1"/>
  <c r="I15" i="1"/>
  <c r="J15" i="1"/>
  <c r="K15" i="1"/>
  <c r="L15" i="1"/>
  <c r="I16" i="1"/>
  <c r="J16" i="1"/>
  <c r="K16" i="1"/>
  <c r="L16" i="1"/>
  <c r="I27" i="1"/>
  <c r="J27" i="1"/>
  <c r="K27" i="1"/>
  <c r="L27" i="1"/>
  <c r="I36" i="1"/>
  <c r="J36" i="1"/>
  <c r="K36" i="1"/>
  <c r="L36" i="1"/>
  <c r="I42" i="1"/>
  <c r="J42" i="1"/>
  <c r="K42" i="1"/>
  <c r="L42" i="1"/>
  <c r="I44" i="1"/>
  <c r="J44" i="1"/>
  <c r="K44" i="1"/>
  <c r="L44" i="1"/>
  <c r="I10" i="1"/>
  <c r="J10" i="1"/>
  <c r="K10" i="1"/>
  <c r="L10" i="1"/>
  <c r="I12" i="1"/>
  <c r="J12" i="1"/>
  <c r="K12" i="1"/>
  <c r="L12" i="1"/>
  <c r="I13" i="1"/>
  <c r="J13" i="1"/>
  <c r="K13" i="1"/>
  <c r="L13" i="1"/>
  <c r="I17" i="1"/>
  <c r="J17" i="1"/>
  <c r="K17" i="1"/>
  <c r="L17" i="1"/>
  <c r="I18" i="1"/>
  <c r="J18" i="1"/>
  <c r="K18" i="1"/>
  <c r="L18" i="1"/>
  <c r="I19" i="1"/>
  <c r="J19" i="1"/>
  <c r="K19" i="1"/>
  <c r="L19" i="1"/>
  <c r="I28" i="1"/>
  <c r="J28" i="1"/>
  <c r="K28" i="1"/>
  <c r="L28" i="1"/>
  <c r="I34" i="1"/>
  <c r="J34" i="1"/>
  <c r="K34" i="1"/>
  <c r="L34" i="1"/>
  <c r="I35" i="1"/>
  <c r="J35" i="1"/>
  <c r="K35" i="1"/>
  <c r="L35" i="1"/>
  <c r="I38" i="1"/>
  <c r="J38" i="1"/>
  <c r="K38" i="1"/>
  <c r="L38" i="1"/>
  <c r="I40" i="1"/>
  <c r="J40" i="1"/>
  <c r="K40" i="1"/>
  <c r="L40" i="1"/>
  <c r="I9" i="1"/>
  <c r="J9" i="1"/>
  <c r="K9" i="1"/>
  <c r="L9" i="1"/>
  <c r="L4" i="1"/>
  <c r="K4" i="1"/>
  <c r="J4" i="1"/>
  <c r="E6" i="1"/>
  <c r="E8" i="1"/>
  <c r="E14" i="1"/>
  <c r="E20" i="1"/>
  <c r="E22" i="1"/>
  <c r="E23" i="1"/>
  <c r="E24" i="1"/>
  <c r="E26" i="1"/>
  <c r="E29" i="1"/>
  <c r="E30" i="1"/>
  <c r="E31" i="1"/>
  <c r="E33" i="1"/>
  <c r="E37" i="1"/>
  <c r="E39" i="1"/>
  <c r="E41" i="1"/>
  <c r="E45" i="1"/>
  <c r="E5" i="1"/>
  <c r="E7" i="1"/>
  <c r="E15" i="1"/>
  <c r="E16" i="1"/>
  <c r="E27" i="1"/>
  <c r="E36" i="1"/>
  <c r="E42" i="1"/>
  <c r="E44" i="1"/>
  <c r="E10" i="1"/>
  <c r="E12" i="1"/>
  <c r="E13" i="1"/>
  <c r="E17" i="1"/>
  <c r="E18" i="1"/>
  <c r="E19" i="1"/>
  <c r="E28" i="1"/>
  <c r="E34" i="1"/>
  <c r="E35" i="1"/>
  <c r="E38" i="1"/>
  <c r="E40" i="1"/>
  <c r="E9" i="1"/>
  <c r="E4" i="1"/>
  <c r="D4" i="1"/>
  <c r="I4" i="1"/>
  <c r="C2" i="10" s="1"/>
  <c r="H6" i="1"/>
  <c r="C4" i="11" s="1"/>
  <c r="H8" i="1"/>
  <c r="C6" i="11" s="1"/>
  <c r="H14" i="1"/>
  <c r="H20" i="1"/>
  <c r="H22" i="1"/>
  <c r="H23" i="1"/>
  <c r="C19" i="11" s="1"/>
  <c r="H24" i="1"/>
  <c r="C20" i="11" s="1"/>
  <c r="H26" i="1"/>
  <c r="H29" i="1"/>
  <c r="H30" i="1"/>
  <c r="C25" i="11" s="1"/>
  <c r="H31" i="1"/>
  <c r="H33" i="1"/>
  <c r="H37" i="1"/>
  <c r="H39" i="1"/>
  <c r="C33" i="11" s="1"/>
  <c r="H41" i="1"/>
  <c r="C35" i="11" s="1"/>
  <c r="H45" i="1"/>
  <c r="H5" i="1"/>
  <c r="C3" i="11" s="1"/>
  <c r="H7" i="1"/>
  <c r="H15" i="1"/>
  <c r="C12" i="11" s="1"/>
  <c r="H16" i="1"/>
  <c r="H27" i="1"/>
  <c r="H36" i="1"/>
  <c r="H42" i="1"/>
  <c r="C36" i="11" s="1"/>
  <c r="H44" i="1"/>
  <c r="H10" i="1"/>
  <c r="H12" i="1"/>
  <c r="H13" i="1"/>
  <c r="C10" i="11" s="1"/>
  <c r="H17" i="1"/>
  <c r="C14" i="11" s="1"/>
  <c r="H18" i="1"/>
  <c r="H19" i="1"/>
  <c r="C16" i="11" s="1"/>
  <c r="H28" i="1"/>
  <c r="C23" i="11" s="1"/>
  <c r="H34" i="1"/>
  <c r="H35" i="1"/>
  <c r="H38" i="1"/>
  <c r="C32" i="11" s="1"/>
  <c r="H40" i="1"/>
  <c r="C34" i="11" s="1"/>
  <c r="H9" i="1"/>
  <c r="C7" i="11" s="1"/>
  <c r="H4" i="1"/>
  <c r="C2" i="11" s="1"/>
  <c r="B7" i="1"/>
  <c r="B5" i="11" s="1"/>
  <c r="C7" i="1"/>
  <c r="D7" i="1"/>
  <c r="F7" i="1"/>
  <c r="B15" i="1"/>
  <c r="F15" i="1"/>
  <c r="B16" i="1"/>
  <c r="B13" i="11" s="1"/>
  <c r="F16" i="1"/>
  <c r="B27" i="1"/>
  <c r="F27" i="1"/>
  <c r="B36" i="1"/>
  <c r="B30" i="11" s="1"/>
  <c r="F36" i="1"/>
  <c r="B42" i="1"/>
  <c r="F42" i="1"/>
  <c r="B44" i="1"/>
  <c r="F44" i="1"/>
  <c r="B10" i="1"/>
  <c r="B8" i="11" s="1"/>
  <c r="F10" i="1"/>
  <c r="B12" i="1"/>
  <c r="B9" i="11" s="1"/>
  <c r="F12" i="1"/>
  <c r="B13" i="1"/>
  <c r="F13" i="1"/>
  <c r="B17" i="1"/>
  <c r="B14" i="11" s="1"/>
  <c r="F17" i="1"/>
  <c r="B18" i="1"/>
  <c r="B15" i="11" s="1"/>
  <c r="F18" i="1"/>
  <c r="B19" i="1"/>
  <c r="B16" i="11" s="1"/>
  <c r="F19" i="1"/>
  <c r="B28" i="1"/>
  <c r="B23" i="11" s="1"/>
  <c r="F28" i="1"/>
  <c r="B34" i="1"/>
  <c r="F34" i="1"/>
  <c r="B35" i="1"/>
  <c r="F35" i="1"/>
  <c r="B38" i="1"/>
  <c r="B32" i="11" s="1"/>
  <c r="F38" i="1"/>
  <c r="B40" i="1"/>
  <c r="B34" i="11" s="1"/>
  <c r="F40" i="1"/>
  <c r="B9" i="1"/>
  <c r="B7" i="11" s="1"/>
  <c r="C9" i="1"/>
  <c r="D9" i="1"/>
  <c r="F9" i="1"/>
  <c r="I46" i="11" l="1"/>
  <c r="J46" i="11"/>
  <c r="K46" i="11"/>
  <c r="K45" i="10"/>
  <c r="J45" i="10"/>
  <c r="I45" i="10"/>
  <c r="K45" i="11"/>
  <c r="I45" i="11"/>
  <c r="J45" i="11"/>
  <c r="J44" i="10"/>
  <c r="K44" i="10"/>
  <c r="I44" i="10"/>
  <c r="J44" i="11"/>
  <c r="K44" i="11"/>
  <c r="I44" i="11"/>
  <c r="I23" i="11"/>
  <c r="J23" i="11"/>
  <c r="K23" i="11"/>
  <c r="I7" i="11"/>
  <c r="J7" i="11"/>
  <c r="K7" i="11"/>
  <c r="I32" i="11"/>
  <c r="J32" i="11"/>
  <c r="K32" i="11"/>
  <c r="I46" i="10"/>
  <c r="J46" i="10"/>
  <c r="K46" i="10"/>
  <c r="E29" i="11"/>
  <c r="E25" i="11"/>
  <c r="F26" i="11"/>
  <c r="C15" i="11"/>
  <c r="C31" i="11"/>
  <c r="C24" i="11"/>
  <c r="C18" i="11"/>
  <c r="E28" i="11"/>
  <c r="E24" i="11"/>
  <c r="E20" i="11"/>
  <c r="E16" i="11"/>
  <c r="E12" i="11"/>
  <c r="F29" i="11"/>
  <c r="F25" i="11"/>
  <c r="F21" i="11"/>
  <c r="F17" i="11"/>
  <c r="F13" i="11"/>
  <c r="C28" i="11"/>
  <c r="C37" i="11"/>
  <c r="C13" i="11"/>
  <c r="C27" i="11"/>
  <c r="C21" i="11"/>
  <c r="C17" i="11"/>
  <c r="E27" i="11"/>
  <c r="E15" i="11"/>
  <c r="E11" i="11"/>
  <c r="F28" i="11"/>
  <c r="F24" i="11"/>
  <c r="F20" i="11"/>
  <c r="F16" i="11"/>
  <c r="F12" i="11"/>
  <c r="F34" i="11"/>
  <c r="K34" i="11" s="1"/>
  <c r="C26" i="11"/>
  <c r="C11" i="11"/>
  <c r="E22" i="11"/>
  <c r="E18" i="11"/>
  <c r="E14" i="11"/>
  <c r="E10" i="11"/>
  <c r="F15" i="11"/>
  <c r="F11" i="11"/>
  <c r="B36" i="11"/>
  <c r="E17" i="11"/>
  <c r="E13" i="11"/>
  <c r="F18" i="11"/>
  <c r="F14" i="11"/>
  <c r="F10" i="11"/>
  <c r="AG35" i="1"/>
  <c r="AO8" i="1" s="1"/>
  <c r="AI12" i="1"/>
  <c r="AP13" i="1" s="1"/>
  <c r="AI36" i="1"/>
  <c r="AI7" i="1"/>
  <c r="AG16" i="1"/>
  <c r="AO36" i="1" s="1"/>
  <c r="C30" i="11"/>
  <c r="K30" i="11" s="1"/>
  <c r="C5" i="11"/>
  <c r="K5" i="11" s="1"/>
  <c r="C9" i="11"/>
  <c r="I9" i="11" s="1"/>
  <c r="AI35" i="1"/>
  <c r="AI10" i="1"/>
  <c r="AP15" i="1" s="1"/>
  <c r="AI44" i="1"/>
  <c r="AP32" i="1" s="1"/>
  <c r="AI18" i="1"/>
  <c r="AI27" i="1"/>
  <c r="AP22" i="1" s="1"/>
  <c r="C29" i="11"/>
  <c r="C22" i="11"/>
  <c r="C8" i="11"/>
  <c r="I8" i="11" s="1"/>
  <c r="B10" i="11"/>
  <c r="AI13" i="1"/>
  <c r="AP12" i="1" s="1"/>
  <c r="AF13" i="1"/>
  <c r="AN12" i="1" s="1"/>
  <c r="AG13" i="1"/>
  <c r="AO12" i="1" s="1"/>
  <c r="AI9" i="1"/>
  <c r="AP24" i="1" s="1"/>
  <c r="AI34" i="1"/>
  <c r="AP5" i="1" s="1"/>
  <c r="AI17" i="1"/>
  <c r="AI16" i="1"/>
  <c r="AP36" i="1" s="1"/>
  <c r="AI40" i="1"/>
  <c r="AI28" i="1"/>
  <c r="AI42" i="1"/>
  <c r="AI15" i="1"/>
  <c r="AP30" i="1" s="1"/>
  <c r="AG9" i="1"/>
  <c r="AO24" i="1" s="1"/>
  <c r="AG40" i="1"/>
  <c r="AO27" i="1" s="1"/>
  <c r="AG38" i="1"/>
  <c r="AO29" i="1" s="1"/>
  <c r="AG34" i="1"/>
  <c r="AO5" i="1" s="1"/>
  <c r="AG28" i="1"/>
  <c r="AO9" i="1" s="1"/>
  <c r="AG19" i="1"/>
  <c r="AO33" i="1" s="1"/>
  <c r="AG18" i="1"/>
  <c r="AO34" i="1" s="1"/>
  <c r="AG17" i="1"/>
  <c r="AO23" i="1" s="1"/>
  <c r="AG12" i="1"/>
  <c r="AO13" i="1" s="1"/>
  <c r="AG10" i="1"/>
  <c r="AO15" i="1" s="1"/>
  <c r="AG42" i="1"/>
  <c r="AO21" i="1" s="1"/>
  <c r="AG36" i="1"/>
  <c r="AO19" i="1" s="1"/>
  <c r="AG27" i="1"/>
  <c r="AO22" i="1" s="1"/>
  <c r="AG15" i="1"/>
  <c r="AO30" i="1" s="1"/>
  <c r="AG7" i="1"/>
  <c r="AO25" i="1" s="1"/>
  <c r="AF44" i="1"/>
  <c r="AG44" i="1"/>
  <c r="AO32" i="1" s="1"/>
  <c r="AI38" i="1"/>
  <c r="AP29" i="1" s="1"/>
  <c r="AI19" i="1"/>
  <c r="AP33" i="1" s="1"/>
  <c r="AF16" i="1"/>
  <c r="AF35" i="1"/>
  <c r="AF42" i="1"/>
  <c r="AF38" i="1"/>
  <c r="AN29" i="1" s="1"/>
  <c r="AF34" i="1"/>
  <c r="AN5" i="1" s="1"/>
  <c r="AF19" i="1"/>
  <c r="AN33" i="1" s="1"/>
  <c r="AF15" i="1"/>
  <c r="AN30" i="1" s="1"/>
  <c r="AF12" i="1"/>
  <c r="AN13" i="1" s="1"/>
  <c r="AF7" i="1"/>
  <c r="AF28" i="1"/>
  <c r="AN9" i="1" s="1"/>
  <c r="AF18" i="1"/>
  <c r="AN34" i="1" s="1"/>
  <c r="AF10" i="1"/>
  <c r="AN15" i="1" s="1"/>
  <c r="AF40" i="1"/>
  <c r="AF36" i="1"/>
  <c r="AN19" i="1" s="1"/>
  <c r="AF27" i="1"/>
  <c r="AN22" i="1" s="1"/>
  <c r="AF17" i="1"/>
  <c r="AN23" i="1" s="1"/>
  <c r="AF9" i="1"/>
  <c r="AN24" i="1" s="1"/>
  <c r="AP23" i="1"/>
  <c r="AP19" i="1"/>
  <c r="AP25" i="1"/>
  <c r="AN32" i="1"/>
  <c r="AN27" i="1"/>
  <c r="AP27" i="1"/>
  <c r="AP8" i="1"/>
  <c r="AN8" i="1"/>
  <c r="AP34" i="1"/>
  <c r="AN21" i="1"/>
  <c r="AP21" i="1"/>
  <c r="AN25" i="1"/>
  <c r="AP9" i="1"/>
  <c r="AN36" i="1"/>
  <c r="D5" i="1"/>
  <c r="C5" i="1"/>
  <c r="B5" i="1"/>
  <c r="B3" i="11" s="1"/>
  <c r="F5" i="1"/>
  <c r="B3" i="9"/>
  <c r="B6" i="1"/>
  <c r="B4" i="11" s="1"/>
  <c r="C6" i="1"/>
  <c r="D6" i="1"/>
  <c r="F6" i="1"/>
  <c r="B8" i="1"/>
  <c r="B6" i="11" s="1"/>
  <c r="C8" i="1"/>
  <c r="D8" i="1"/>
  <c r="F8" i="1"/>
  <c r="B14" i="1"/>
  <c r="B11" i="11" s="1"/>
  <c r="F14" i="1"/>
  <c r="B20" i="1"/>
  <c r="F20" i="1"/>
  <c r="B22" i="1"/>
  <c r="B18" i="11" s="1"/>
  <c r="F22" i="1"/>
  <c r="B23" i="1"/>
  <c r="B19" i="11" s="1"/>
  <c r="F23" i="1"/>
  <c r="B24" i="1"/>
  <c r="B20" i="11" s="1"/>
  <c r="F24" i="1"/>
  <c r="B26" i="1"/>
  <c r="F26" i="1"/>
  <c r="B29" i="1"/>
  <c r="B24" i="11" s="1"/>
  <c r="F29" i="1"/>
  <c r="B30" i="1"/>
  <c r="B28" i="11" s="1"/>
  <c r="F30" i="1"/>
  <c r="B31" i="1"/>
  <c r="B26" i="11" s="1"/>
  <c r="F31" i="1"/>
  <c r="B33" i="1"/>
  <c r="B27" i="11" s="1"/>
  <c r="F33" i="1"/>
  <c r="B37" i="1"/>
  <c r="B31" i="11" s="1"/>
  <c r="F37" i="1"/>
  <c r="B39" i="1"/>
  <c r="B37" i="11" s="1"/>
  <c r="F39" i="1"/>
  <c r="B41" i="1"/>
  <c r="B35" i="11" s="1"/>
  <c r="F41" i="1"/>
  <c r="B45" i="1"/>
  <c r="F45" i="1"/>
  <c r="F4" i="1"/>
  <c r="C4" i="1"/>
  <c r="B4" i="1"/>
  <c r="I14" i="11" l="1"/>
  <c r="J30" i="11"/>
  <c r="J5" i="11"/>
  <c r="J13" i="11"/>
  <c r="I15" i="11"/>
  <c r="K14" i="11"/>
  <c r="J34" i="11"/>
  <c r="I16" i="11"/>
  <c r="G46" i="10"/>
  <c r="G46" i="11"/>
  <c r="J37" i="11"/>
  <c r="K37" i="11"/>
  <c r="I37" i="11"/>
  <c r="K10" i="11"/>
  <c r="I10" i="11"/>
  <c r="J10" i="11"/>
  <c r="I36" i="11"/>
  <c r="J36" i="11"/>
  <c r="K36" i="11"/>
  <c r="I13" i="11"/>
  <c r="I30" i="11"/>
  <c r="G30" i="11" s="1"/>
  <c r="J9" i="11"/>
  <c r="K16" i="11"/>
  <c r="G7" i="11"/>
  <c r="K8" i="11"/>
  <c r="I34" i="11"/>
  <c r="K15" i="11"/>
  <c r="I28" i="11"/>
  <c r="J28" i="11"/>
  <c r="K28" i="11"/>
  <c r="I31" i="11"/>
  <c r="J31" i="11"/>
  <c r="K31" i="11"/>
  <c r="I24" i="11"/>
  <c r="J24" i="11"/>
  <c r="K24" i="11"/>
  <c r="K18" i="11"/>
  <c r="I18" i="11"/>
  <c r="J18" i="11"/>
  <c r="I11" i="11"/>
  <c r="J11" i="11"/>
  <c r="K11" i="11"/>
  <c r="K6" i="11"/>
  <c r="I6" i="11"/>
  <c r="J6" i="11"/>
  <c r="I4" i="11"/>
  <c r="J4" i="11"/>
  <c r="K4" i="11"/>
  <c r="K13" i="11"/>
  <c r="J14" i="11"/>
  <c r="J16" i="11"/>
  <c r="G32" i="11"/>
  <c r="I5" i="11"/>
  <c r="J8" i="11"/>
  <c r="G23" i="11"/>
  <c r="G44" i="10"/>
  <c r="G45" i="11"/>
  <c r="J15" i="11"/>
  <c r="I27" i="11"/>
  <c r="J27" i="11"/>
  <c r="K27" i="11"/>
  <c r="I19" i="11"/>
  <c r="J19" i="11"/>
  <c r="K19" i="11"/>
  <c r="K9" i="11"/>
  <c r="I3" i="11"/>
  <c r="J3" i="11"/>
  <c r="K3" i="11"/>
  <c r="I35" i="11"/>
  <c r="J35" i="11"/>
  <c r="K35" i="11"/>
  <c r="K26" i="11"/>
  <c r="I26" i="11"/>
  <c r="J26" i="11"/>
  <c r="I20" i="11"/>
  <c r="J20" i="11"/>
  <c r="K20" i="11"/>
  <c r="H3" i="9"/>
  <c r="I3" i="9"/>
  <c r="G3" i="9"/>
  <c r="G44" i="11"/>
  <c r="G45" i="10"/>
  <c r="B29" i="11"/>
  <c r="B12" i="11"/>
  <c r="B22" i="11"/>
  <c r="AG33" i="1"/>
  <c r="AO20" i="1" s="1"/>
  <c r="AI5" i="1"/>
  <c r="AF23" i="1"/>
  <c r="AI14" i="1"/>
  <c r="AP37" i="1" s="1"/>
  <c r="AF6" i="1"/>
  <c r="AG6" i="1"/>
  <c r="AO7" i="1" s="1"/>
  <c r="AI33" i="1"/>
  <c r="AF31" i="1"/>
  <c r="AF41" i="1"/>
  <c r="AG23" i="1"/>
  <c r="AO38" i="1" s="1"/>
  <c r="AF8" i="1"/>
  <c r="AG24" i="1"/>
  <c r="AO31" i="1" s="1"/>
  <c r="AG37" i="1"/>
  <c r="AO2" i="1" s="1"/>
  <c r="AI24" i="1"/>
  <c r="AI45" i="1"/>
  <c r="B2" i="11"/>
  <c r="AI4" i="1"/>
  <c r="AF4" i="1"/>
  <c r="B2" i="10"/>
  <c r="AG4" i="1"/>
  <c r="AO35" i="1" s="1"/>
  <c r="AG39" i="1"/>
  <c r="AO11" i="1" s="1"/>
  <c r="AG30" i="1"/>
  <c r="AO14" i="1" s="1"/>
  <c r="AG8" i="1"/>
  <c r="AO3" i="1" s="1"/>
  <c r="B33" i="11"/>
  <c r="AF39" i="1"/>
  <c r="AN11" i="1" s="1"/>
  <c r="AI39" i="1"/>
  <c r="B25" i="11"/>
  <c r="AI30" i="1"/>
  <c r="AF30" i="1"/>
  <c r="AN14" i="1" s="1"/>
  <c r="B17" i="11"/>
  <c r="AF20" i="1"/>
  <c r="AN26" i="1" s="1"/>
  <c r="AI20" i="1"/>
  <c r="AF5" i="1"/>
  <c r="AF22" i="1"/>
  <c r="AF14" i="1"/>
  <c r="AF33" i="1"/>
  <c r="AF24" i="1"/>
  <c r="AI23" i="1"/>
  <c r="AG14" i="1"/>
  <c r="AO37" i="1" s="1"/>
  <c r="AG29" i="1"/>
  <c r="AO4" i="1" s="1"/>
  <c r="AG41" i="1"/>
  <c r="AO18" i="1" s="1"/>
  <c r="AI31" i="1"/>
  <c r="AP10" i="1" s="1"/>
  <c r="AI8" i="1"/>
  <c r="AP3" i="1" s="1"/>
  <c r="AI22" i="1"/>
  <c r="AP17" i="1" s="1"/>
  <c r="AG5" i="1"/>
  <c r="AO28" i="1" s="1"/>
  <c r="AG26" i="1"/>
  <c r="AO16" i="1" s="1"/>
  <c r="AG20" i="1"/>
  <c r="AO26" i="1" s="1"/>
  <c r="B21" i="11"/>
  <c r="AI26" i="1"/>
  <c r="AF26" i="1"/>
  <c r="AF45" i="1"/>
  <c r="AF37" i="1"/>
  <c r="AF29" i="1"/>
  <c r="AG22" i="1"/>
  <c r="AO17" i="1" s="1"/>
  <c r="AG31" i="1"/>
  <c r="AO10" i="1" s="1"/>
  <c r="AG45" i="1"/>
  <c r="AO6" i="1" s="1"/>
  <c r="AI41" i="1"/>
  <c r="AP18" i="1" s="1"/>
  <c r="AI6" i="1"/>
  <c r="AI29" i="1"/>
  <c r="AP4" i="1" s="1"/>
  <c r="AI37" i="1"/>
  <c r="AN7" i="1"/>
  <c r="AN38" i="1"/>
  <c r="AP31" i="1"/>
  <c r="AN16" i="1"/>
  <c r="AP20" i="1"/>
  <c r="AN2" i="1"/>
  <c r="AP6" i="1"/>
  <c r="AP28" i="1"/>
  <c r="G14" i="11" l="1"/>
  <c r="G16" i="11"/>
  <c r="G15" i="11"/>
  <c r="G34" i="11"/>
  <c r="G5" i="11"/>
  <c r="G9" i="11"/>
  <c r="G26" i="11"/>
  <c r="G35" i="11"/>
  <c r="G8" i="11"/>
  <c r="G36" i="11"/>
  <c r="G37" i="11"/>
  <c r="J25" i="11"/>
  <c r="K25" i="11"/>
  <c r="I25" i="11"/>
  <c r="K2" i="10"/>
  <c r="J2" i="10"/>
  <c r="I2" i="10"/>
  <c r="J17" i="11"/>
  <c r="K17" i="11"/>
  <c r="I17" i="11"/>
  <c r="I12" i="11"/>
  <c r="J12" i="11"/>
  <c r="K12" i="11"/>
  <c r="G6" i="11"/>
  <c r="G11" i="11"/>
  <c r="G28" i="11"/>
  <c r="G13" i="11"/>
  <c r="J29" i="11"/>
  <c r="K29" i="11"/>
  <c r="I29" i="11"/>
  <c r="G20" i="11"/>
  <c r="G27" i="11"/>
  <c r="G31" i="11"/>
  <c r="G10" i="11"/>
  <c r="K22" i="11"/>
  <c r="I22" i="11"/>
  <c r="J22" i="11"/>
  <c r="J21" i="11"/>
  <c r="K21" i="11"/>
  <c r="I21" i="11"/>
  <c r="J33" i="11"/>
  <c r="K33" i="11"/>
  <c r="I33" i="11"/>
  <c r="I2" i="11"/>
  <c r="K2" i="11"/>
  <c r="J2" i="11"/>
  <c r="G3" i="11"/>
  <c r="G19" i="11"/>
  <c r="G4" i="11"/>
  <c r="G18" i="11"/>
  <c r="G24" i="11"/>
  <c r="J3" i="9"/>
  <c r="AH4" i="1" s="1"/>
  <c r="AP16" i="1"/>
  <c r="AM2" i="1"/>
  <c r="AN37" i="1"/>
  <c r="AN18" i="1"/>
  <c r="AP7" i="1"/>
  <c r="AN31" i="1"/>
  <c r="AP26" i="1"/>
  <c r="AN10" i="1"/>
  <c r="AP2" i="1"/>
  <c r="AN20" i="1"/>
  <c r="AP38" i="1"/>
  <c r="AP14" i="1"/>
  <c r="AN6" i="1"/>
  <c r="AN3" i="1"/>
  <c r="AN17" i="1"/>
  <c r="AN4" i="1"/>
  <c r="AP11" i="1"/>
  <c r="AN28" i="1"/>
  <c r="N47" i="1"/>
  <c r="AN35" i="1"/>
  <c r="G33" i="11" l="1"/>
  <c r="G29" i="11"/>
  <c r="G25" i="11"/>
  <c r="G12" i="11"/>
  <c r="G2" i="10"/>
  <c r="G2" i="11"/>
  <c r="G21" i="11"/>
  <c r="G22" i="11"/>
  <c r="G17" i="11"/>
  <c r="H47" i="1"/>
  <c r="N10" i="10" l="1"/>
  <c r="O10" i="10" s="1"/>
  <c r="N6" i="10"/>
  <c r="N2" i="10"/>
  <c r="O2" i="10" s="1"/>
  <c r="N9" i="10"/>
  <c r="O9" i="10" s="1"/>
  <c r="N5" i="10"/>
  <c r="O5" i="10" s="1"/>
  <c r="N4" i="10"/>
  <c r="O4" i="10" s="1"/>
  <c r="N11" i="10"/>
  <c r="O11" i="10" s="1"/>
  <c r="N3" i="10"/>
  <c r="N8" i="10"/>
  <c r="O8" i="10" s="1"/>
  <c r="N7" i="10"/>
  <c r="O7" i="10" s="1"/>
  <c r="M6" i="11"/>
  <c r="N6" i="11" s="1"/>
  <c r="M7" i="11"/>
  <c r="N7" i="11" s="1"/>
  <c r="M9" i="11"/>
  <c r="N9" i="11" s="1"/>
  <c r="M8" i="11"/>
  <c r="N8" i="11" s="1"/>
  <c r="M11" i="11"/>
  <c r="N11" i="11" s="1"/>
  <c r="M5" i="11"/>
  <c r="N5" i="11" s="1"/>
  <c r="M2" i="11"/>
  <c r="N2" i="11" s="1"/>
  <c r="M4" i="11"/>
  <c r="N4" i="11" s="1"/>
  <c r="M10" i="11"/>
  <c r="N10" i="11" s="1"/>
  <c r="M3" i="11"/>
  <c r="N3" i="11" s="1"/>
  <c r="B47" i="1"/>
  <c r="AP35" i="1" l="1"/>
  <c r="AF47" i="1" l="1"/>
</calcChain>
</file>

<file path=xl/sharedStrings.xml><?xml version="1.0" encoding="utf-8"?>
<sst xmlns="http://schemas.openxmlformats.org/spreadsheetml/2006/main" count="734" uniqueCount="161">
  <si>
    <t>Név</t>
  </si>
  <si>
    <t>Súly</t>
  </si>
  <si>
    <t>Kategória</t>
  </si>
  <si>
    <t>Össz súly</t>
  </si>
  <si>
    <t>Részvétel</t>
  </si>
  <si>
    <t>Nagy Tibor</t>
  </si>
  <si>
    <t>Ruzicska György</t>
  </si>
  <si>
    <t>Körmendi János</t>
  </si>
  <si>
    <t>Kovács Roland</t>
  </si>
  <si>
    <t>név</t>
  </si>
  <si>
    <t>súly</t>
  </si>
  <si>
    <t>pont</t>
  </si>
  <si>
    <t>Összesítés, minden kategória</t>
  </si>
  <si>
    <t>kategória</t>
  </si>
  <si>
    <t>össz súly</t>
  </si>
  <si>
    <t>Horváth György</t>
  </si>
  <si>
    <t>Farkas István</t>
  </si>
  <si>
    <t>Farkas Richárd</t>
  </si>
  <si>
    <t>Darab</t>
  </si>
  <si>
    <t>Hely</t>
  </si>
  <si>
    <t>Évnyitó egyéni 2026.03.29.</t>
  </si>
  <si>
    <t>20 Órás Páros 2026.05.08-09.</t>
  </si>
  <si>
    <t>Nyári Egyéni 2026.06.07.</t>
  </si>
  <si>
    <t>Gőgh István</t>
  </si>
  <si>
    <t>Bisztrony Balázs</t>
  </si>
  <si>
    <t>Ballabás László</t>
  </si>
  <si>
    <t>Bajnóczki Zoltán</t>
  </si>
  <si>
    <t>Andrási Gyula</t>
  </si>
  <si>
    <t>Liptai László</t>
  </si>
  <si>
    <t>Győri Gábor</t>
  </si>
  <si>
    <t>Nagy Balázs</t>
  </si>
  <si>
    <t>Kovács László</t>
  </si>
  <si>
    <t>hely</t>
  </si>
  <si>
    <t>egyéni</t>
  </si>
  <si>
    <t>darab</t>
  </si>
  <si>
    <t>1. helyezett</t>
  </si>
  <si>
    <t>2. helyezett</t>
  </si>
  <si>
    <t>42,69 Kg - Nagy Balázs</t>
  </si>
  <si>
    <t>3. helyezett</t>
  </si>
  <si>
    <t>41,31 Kg - Ballabás László</t>
  </si>
  <si>
    <t>4. helyezett</t>
  </si>
  <si>
    <t>26,24 Kg - Liptai László</t>
  </si>
  <si>
    <t>5. helyezett</t>
  </si>
  <si>
    <t>24,44 Kg - Körmendi János</t>
  </si>
  <si>
    <t>6. helyezett</t>
  </si>
  <si>
    <t>21,83 Kg - Berczu András</t>
  </si>
  <si>
    <t>7. helyezett</t>
  </si>
  <si>
    <t>20,68 Kg - Kovács Roland</t>
  </si>
  <si>
    <t>8. helyezett</t>
  </si>
  <si>
    <t>17,51 Kg - Horváth György</t>
  </si>
  <si>
    <t>9. helyezett</t>
  </si>
  <si>
    <t>17,18 Kg - Nagy Tibor</t>
  </si>
  <si>
    <t>10. helyezett</t>
  </si>
  <si>
    <t>15,55 Kg - Bajnóczki Zoltán</t>
  </si>
  <si>
    <t>11. helyezett</t>
  </si>
  <si>
    <t>7,75 Kg - Farkas István</t>
  </si>
  <si>
    <t>12. helyezett</t>
  </si>
  <si>
    <t>5,98 Kg - Farkas Rihárd</t>
  </si>
  <si>
    <t>13. helyezett</t>
  </si>
  <si>
    <t>4,05 Kg - Andrási Gyula</t>
  </si>
  <si>
    <t>14. helyezett</t>
  </si>
  <si>
    <t>0,78 Kg - Ruzicska György</t>
  </si>
  <si>
    <t>15. helyezett</t>
  </si>
  <si>
    <t>0,28 Kg - Bisztrony Balázs</t>
  </si>
  <si>
    <t>16. helyezett</t>
  </si>
  <si>
    <t>0 Kg - Gőgh István</t>
  </si>
  <si>
    <t>17. helyezett</t>
  </si>
  <si>
    <t>0 Kg - Győri Gábor</t>
  </si>
  <si>
    <t>18. helyezett</t>
  </si>
  <si>
    <t>0 Kg - Kovács László</t>
  </si>
  <si>
    <t>Össz db</t>
  </si>
  <si>
    <t>alkalom</t>
  </si>
  <si>
    <t>össz pont</t>
  </si>
  <si>
    <t>össz db</t>
  </si>
  <si>
    <t>szektor</t>
  </si>
  <si>
    <t>Szabó István</t>
  </si>
  <si>
    <t>Nagy Ákos</t>
  </si>
  <si>
    <t>Bodzai László</t>
  </si>
  <si>
    <t>Szoboszlai Ferenc</t>
  </si>
  <si>
    <t>Ballabás Richárd</t>
  </si>
  <si>
    <t>Ballabás András</t>
  </si>
  <si>
    <t>Király Zsolt</t>
  </si>
  <si>
    <t>Babai Richárd</t>
  </si>
  <si>
    <t>Csibrán Krisztián</t>
  </si>
  <si>
    <t>B</t>
  </si>
  <si>
    <t>C</t>
  </si>
  <si>
    <t>Zsolnai László</t>
  </si>
  <si>
    <t>páros</t>
  </si>
  <si>
    <t>Nagy Balázs és Nagy Ákos</t>
  </si>
  <si>
    <t>Ballabás László és Kovács László</t>
  </si>
  <si>
    <t>Bajnóczki Zoltán és Király Zsolt</t>
  </si>
  <si>
    <t>Ballabás Richárd és Ballabás András</t>
  </si>
  <si>
    <t>RuzicskaGyörgy és Szabó István</t>
  </si>
  <si>
    <t>Bodzai László és Szoboszlai Ferenc</t>
  </si>
  <si>
    <t>Babai Richárd és Csibrán Krisztián</t>
  </si>
  <si>
    <t>Bercu András</t>
  </si>
  <si>
    <t>Dora István</t>
  </si>
  <si>
    <t>Németh Gábor</t>
  </si>
  <si>
    <t>Marton Zsigmond</t>
  </si>
  <si>
    <t>Bánhegyi Gergely</t>
  </si>
  <si>
    <t>Kovács Attila</t>
  </si>
  <si>
    <t>Bandzi László</t>
  </si>
  <si>
    <t>Malecz Ferenc</t>
  </si>
  <si>
    <t>Nagy Jenő</t>
  </si>
  <si>
    <t>Erdei Imre</t>
  </si>
  <si>
    <t>Erdei Dávid</t>
  </si>
  <si>
    <t>Bánhegyi Gergely és Kovács Attila</t>
  </si>
  <si>
    <t>Bandzi László és Malecz Ferenc</t>
  </si>
  <si>
    <t>Bercu András és Dora István</t>
  </si>
  <si>
    <t>Németh Gábor és Marton Zsigmond</t>
  </si>
  <si>
    <t>Nagy Tibor és Nagy Jenő</t>
  </si>
  <si>
    <t>Erdei Imre és Erdei Dávid</t>
  </si>
  <si>
    <t>60/a</t>
  </si>
  <si>
    <t>56/a</t>
  </si>
  <si>
    <t>61/a</t>
  </si>
  <si>
    <t>59/a</t>
  </si>
  <si>
    <t>55/a</t>
  </si>
  <si>
    <t>57/a</t>
  </si>
  <si>
    <t>A</t>
  </si>
  <si>
    <t>szektor helyezési szám</t>
  </si>
  <si>
    <t>régi pont</t>
  </si>
  <si>
    <t>helyezési pont</t>
  </si>
  <si>
    <t>Szektor</t>
  </si>
  <si>
    <t>A SZEKTOR</t>
  </si>
  <si>
    <t>B SZEKTOR</t>
  </si>
  <si>
    <t>Nyári Éjszakai Páros 2026.08.8-9.</t>
  </si>
  <si>
    <t>Őszi Évzáró Egyéni 2026.09.20.</t>
  </si>
  <si>
    <t>Pont</t>
  </si>
  <si>
    <t>Össz pont</t>
  </si>
  <si>
    <t>VERSENY DÁTUMA</t>
  </si>
  <si>
    <t>LEGJOBB HELYEZÉSEK</t>
  </si>
  <si>
    <t>ÖSSZ PONT</t>
  </si>
  <si>
    <t>AKI NEM VESZ RÉSZT EGY VERSENYEN, 20 PONTOT ÍRUNK BE NEKI</t>
  </si>
  <si>
    <t>A 3 LEGKISEBB PONTSZÁM ÖSSZEGE ADJA AZ EREDMÉNYT</t>
  </si>
  <si>
    <t>PONTAZONOSSÁG ESETÉN A NAGYOBB FOGOTT SÚLY DÖNT, HA AZ IS MEGEGYEZIK, A TÖBB FOGOTT HAL SZÁMÍT</t>
  </si>
  <si>
    <t>NÉV</t>
  </si>
  <si>
    <t>DINASZTIA HORGÁSZPARK</t>
  </si>
  <si>
    <t>1. verseny, db</t>
  </si>
  <si>
    <t>2. verseny, db</t>
  </si>
  <si>
    <t>3. verseny, db</t>
  </si>
  <si>
    <t>4. verseny, db</t>
  </si>
  <si>
    <t>5. verseny, db</t>
  </si>
  <si>
    <t>összesen</t>
  </si>
  <si>
    <t>1. verseny, kg</t>
  </si>
  <si>
    <t>2. verseny, kg</t>
  </si>
  <si>
    <t>3. verseny, kg</t>
  </si>
  <si>
    <t>4. verseny, kg</t>
  </si>
  <si>
    <t>5. verseny, kg</t>
  </si>
  <si>
    <t>verseny</t>
  </si>
  <si>
    <t>SORREND</t>
  </si>
  <si>
    <t>SÚLYOK</t>
  </si>
  <si>
    <t>DARAB</t>
  </si>
  <si>
    <t>57,87 Kg - Zsolnai László</t>
  </si>
  <si>
    <t>Bánfalvi László</t>
  </si>
  <si>
    <t>Farkas József</t>
  </si>
  <si>
    <t>Hegedűs Gábor</t>
  </si>
  <si>
    <t>Krasznai Zsolt</t>
  </si>
  <si>
    <t>Szegedy András</t>
  </si>
  <si>
    <t>legtöbb</t>
  </si>
  <si>
    <t>2. legtöbb</t>
  </si>
  <si>
    <t>3. legtöbb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</si>
</sst>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verseny&quot;"/>
    <numFmt numFmtId="165" formatCode="0.00&quot; Kg&quot;"/>
    <numFmt numFmtId="166" formatCode="[$-40E]mmmm\ d\.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165" fontId="0" fillId="0" borderId="5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left"/>
    </xf>
    <xf numFmtId="164" fontId="0" fillId="0" borderId="8" xfId="0" applyNumberFormat="1" applyBorder="1" applyAlignment="1">
      <alignment horizontal="left"/>
    </xf>
    <xf numFmtId="165" fontId="3" fillId="0" borderId="5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11" xfId="0" quotePrefix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right"/>
    </xf>
    <xf numFmtId="165" fontId="0" fillId="0" borderId="5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3" fillId="0" borderId="0" xfId="0" applyFont="1" applyBorder="1"/>
    <xf numFmtId="1" fontId="0" fillId="0" borderId="11" xfId="0" applyNumberFormat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5" xfId="0" applyFont="1" applyBorder="1"/>
    <xf numFmtId="0" fontId="3" fillId="0" borderId="16" xfId="0" applyFont="1" applyBorder="1"/>
    <xf numFmtId="0" fontId="3" fillId="0" borderId="10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7" xfId="0" applyBorder="1" applyAlignment="1"/>
    <xf numFmtId="1" fontId="3" fillId="0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Fill="1"/>
    <xf numFmtId="16" fontId="0" fillId="0" borderId="0" xfId="0" applyNumberFormat="1"/>
    <xf numFmtId="0" fontId="0" fillId="3" borderId="0" xfId="0" applyFill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1" fontId="3" fillId="0" borderId="11" xfId="0" applyNumberFormat="1" applyFont="1" applyFill="1" applyBorder="1" applyAlignment="1">
      <alignment horizontal="right"/>
    </xf>
    <xf numFmtId="1" fontId="3" fillId="0" borderId="11" xfId="0" applyNumberFormat="1" applyFont="1" applyFill="1" applyBorder="1" applyAlignment="1">
      <alignment horizontal="center"/>
    </xf>
  </cellXfs>
  <cellStyles count="1">
    <cellStyle name="Normá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 patternType="darkDown">
          <bgColor theme="0" tint="-0.24994659260841701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 patternType="darkDown">
          <bgColor theme="0" tint="-0.24994659260841701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 patternType="darkDown">
          <bgColor theme="0" tint="-0.24994659260841701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 patternType="darkDown">
          <bgColor theme="0" tint="-0.24994659260841701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 patternType="darkDown"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7CB4-EAEA-4341-951E-302F418FF022}">
  <dimension ref="A1:AP7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R14" sqref="R14"/>
    </sheetView>
  </sheetViews>
  <sheetFormatPr defaultRowHeight="15" x14ac:dyDescent="0.25"/>
  <cols>
    <col min="1" max="1" width="18.7109375" style="28" customWidth="1"/>
    <col min="2" max="2" width="13.85546875" style="6" customWidth="1"/>
    <col min="3" max="3" width="8.42578125" style="6" bestFit="1" customWidth="1"/>
    <col min="4" max="4" width="8.140625" style="6" bestFit="1" customWidth="1"/>
    <col min="5" max="5" width="9.42578125" style="6" customWidth="1"/>
    <col min="6" max="6" width="11.7109375" style="1" bestFit="1" customWidth="1"/>
    <col min="7" max="7" width="7.42578125" style="1" bestFit="1" customWidth="1"/>
    <col min="8" max="8" width="13.85546875" style="6" customWidth="1"/>
    <col min="9" max="9" width="8.42578125" style="6" bestFit="1" customWidth="1"/>
    <col min="10" max="10" width="7.28515625" style="6" bestFit="1" customWidth="1"/>
    <col min="11" max="11" width="9.85546875" style="6" bestFit="1" customWidth="1"/>
    <col min="12" max="12" width="11.7109375" style="1" bestFit="1" customWidth="1"/>
    <col min="13" max="13" width="7.42578125" style="1" bestFit="1" customWidth="1"/>
    <col min="14" max="14" width="13.85546875" style="6" customWidth="1"/>
    <col min="15" max="15" width="8.42578125" style="6" bestFit="1" customWidth="1"/>
    <col min="16" max="16" width="8.140625" style="6" bestFit="1" customWidth="1"/>
    <col min="17" max="17" width="9.85546875" style="6" bestFit="1" customWidth="1"/>
    <col min="18" max="18" width="11.7109375" style="7" bestFit="1" customWidth="1"/>
    <col min="19" max="19" width="7.42578125" style="1" bestFit="1" customWidth="1"/>
    <col min="20" max="20" width="13.85546875" style="1" customWidth="1"/>
    <col min="21" max="21" width="8.42578125" style="1" customWidth="1"/>
    <col min="22" max="22" width="7.28515625" style="1" customWidth="1"/>
    <col min="23" max="23" width="9.85546875" style="1" customWidth="1"/>
    <col min="24" max="24" width="11.7109375" style="1" customWidth="1"/>
    <col min="25" max="25" width="7.42578125" style="1" customWidth="1"/>
    <col min="26" max="26" width="13.85546875" style="1" customWidth="1"/>
    <col min="27" max="27" width="8.42578125" style="1" customWidth="1"/>
    <col min="28" max="28" width="7.28515625" style="1" customWidth="1"/>
    <col min="29" max="29" width="9.85546875" style="1" customWidth="1"/>
    <col min="30" max="30" width="11.7109375" style="1" customWidth="1"/>
    <col min="31" max="31" width="7.42578125" style="1" customWidth="1"/>
    <col min="32" max="32" width="11.28515625" style="6" bestFit="1" customWidth="1"/>
    <col min="33" max="33" width="10" style="6" bestFit="1" customWidth="1"/>
    <col min="34" max="35" width="11.85546875" style="1" bestFit="1" customWidth="1"/>
    <col min="36" max="36" width="2.28515625" customWidth="1"/>
    <col min="37" max="37" width="4.28515625" customWidth="1"/>
    <col min="38" max="38" width="24" style="29" bestFit="1" customWidth="1"/>
    <col min="39" max="39" width="9.5703125" style="1" bestFit="1" customWidth="1"/>
    <col min="40" max="40" width="10.28515625" bestFit="1" customWidth="1"/>
    <col min="41" max="41" width="8.140625" bestFit="1" customWidth="1"/>
    <col min="42" max="42" width="9.42578125" bestFit="1" customWidth="1"/>
  </cols>
  <sheetData>
    <row r="1" spans="1:42" ht="19.5" thickBot="1" x14ac:dyDescent="0.35">
      <c r="A1" s="41" t="s">
        <v>136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L1" s="29" t="s">
        <v>0</v>
      </c>
      <c r="AM1" s="1" t="s">
        <v>72</v>
      </c>
      <c r="AN1" t="s">
        <v>14</v>
      </c>
      <c r="AO1" t="s">
        <v>73</v>
      </c>
      <c r="AP1" t="s">
        <v>71</v>
      </c>
    </row>
    <row r="2" spans="1:42" ht="15.75" thickBot="1" x14ac:dyDescent="0.3">
      <c r="A2" s="42"/>
      <c r="B2" s="43" t="s">
        <v>20</v>
      </c>
      <c r="C2" s="44"/>
      <c r="D2" s="44"/>
      <c r="E2" s="44"/>
      <c r="F2" s="44"/>
      <c r="G2" s="45"/>
      <c r="H2" s="43" t="s">
        <v>21</v>
      </c>
      <c r="I2" s="44"/>
      <c r="J2" s="44"/>
      <c r="K2" s="44"/>
      <c r="L2" s="44"/>
      <c r="M2" s="45"/>
      <c r="N2" s="43" t="s">
        <v>22</v>
      </c>
      <c r="O2" s="44"/>
      <c r="P2" s="44"/>
      <c r="Q2" s="44"/>
      <c r="R2" s="44"/>
      <c r="S2" s="45"/>
      <c r="T2" s="49" t="s">
        <v>125</v>
      </c>
      <c r="U2" s="50"/>
      <c r="V2" s="50"/>
      <c r="W2" s="50"/>
      <c r="X2" s="50"/>
      <c r="Y2" s="51"/>
      <c r="Z2" s="49" t="s">
        <v>126</v>
      </c>
      <c r="AA2" s="50"/>
      <c r="AB2" s="50"/>
      <c r="AC2" s="50"/>
      <c r="AD2" s="50"/>
      <c r="AE2" s="51"/>
      <c r="AF2" s="46" t="s">
        <v>12</v>
      </c>
      <c r="AG2" s="47"/>
      <c r="AH2" s="47"/>
      <c r="AI2" s="48"/>
      <c r="AK2">
        <v>1</v>
      </c>
      <c r="AL2" s="21" t="s">
        <v>30</v>
      </c>
      <c r="AM2" s="1">
        <f>IFERROR(VLOOKUP(AL2,A:AI,34,0),"-")</f>
        <v>10</v>
      </c>
      <c r="AN2" s="30">
        <f>IFERROR(VLOOKUP(AL2,A:AI,32,0),"-")</f>
        <v>206.5</v>
      </c>
      <c r="AO2" s="31">
        <f>IFERROR(VLOOKUP(AL2,A:AI,33,0),"-")</f>
        <v>73</v>
      </c>
      <c r="AP2" s="1" t="str">
        <f>IFERROR(VLOOKUP(AL2,A:AI,35,0),"-")</f>
        <v>3 verseny</v>
      </c>
    </row>
    <row r="3" spans="1:42" s="1" customFormat="1" x14ac:dyDescent="0.25">
      <c r="A3" s="24" t="s">
        <v>0</v>
      </c>
      <c r="B3" s="12" t="s">
        <v>1</v>
      </c>
      <c r="C3" s="12" t="s">
        <v>18</v>
      </c>
      <c r="D3" s="12" t="s">
        <v>19</v>
      </c>
      <c r="E3" s="12" t="s">
        <v>122</v>
      </c>
      <c r="F3" s="12" t="s">
        <v>2</v>
      </c>
      <c r="G3" s="12" t="s">
        <v>127</v>
      </c>
      <c r="H3" s="12" t="s">
        <v>1</v>
      </c>
      <c r="I3" s="12" t="s">
        <v>18</v>
      </c>
      <c r="J3" s="12" t="s">
        <v>19</v>
      </c>
      <c r="K3" s="12" t="s">
        <v>122</v>
      </c>
      <c r="L3" s="12" t="s">
        <v>2</v>
      </c>
      <c r="M3" s="12" t="s">
        <v>127</v>
      </c>
      <c r="N3" s="12" t="s">
        <v>1</v>
      </c>
      <c r="O3" s="12" t="s">
        <v>18</v>
      </c>
      <c r="P3" s="12" t="s">
        <v>19</v>
      </c>
      <c r="Q3" s="12" t="s">
        <v>122</v>
      </c>
      <c r="R3" s="12" t="s">
        <v>2</v>
      </c>
      <c r="S3" s="12" t="s">
        <v>127</v>
      </c>
      <c r="T3" s="32" t="s">
        <v>1</v>
      </c>
      <c r="U3" s="32" t="s">
        <v>18</v>
      </c>
      <c r="V3" s="32" t="s">
        <v>19</v>
      </c>
      <c r="W3" s="32" t="s">
        <v>122</v>
      </c>
      <c r="X3" s="32" t="s">
        <v>2</v>
      </c>
      <c r="Y3" s="12" t="s">
        <v>127</v>
      </c>
      <c r="Z3" s="32" t="s">
        <v>1</v>
      </c>
      <c r="AA3" s="32" t="s">
        <v>18</v>
      </c>
      <c r="AB3" s="32" t="s">
        <v>19</v>
      </c>
      <c r="AC3" s="32" t="s">
        <v>122</v>
      </c>
      <c r="AD3" s="32" t="s">
        <v>2</v>
      </c>
      <c r="AE3" s="12" t="s">
        <v>127</v>
      </c>
      <c r="AF3" s="12" t="s">
        <v>3</v>
      </c>
      <c r="AG3" s="12" t="s">
        <v>70</v>
      </c>
      <c r="AH3" s="12" t="s">
        <v>128</v>
      </c>
      <c r="AI3" s="13" t="s">
        <v>4</v>
      </c>
      <c r="AK3">
        <v>2</v>
      </c>
      <c r="AL3" s="21" t="s">
        <v>25</v>
      </c>
      <c r="AM3" s="39">
        <f>IFERROR(VLOOKUP(AL3,A:AI,34,0),"-")</f>
        <v>21</v>
      </c>
      <c r="AN3" s="30">
        <f>IFERROR(VLOOKUP(AL3,A:AI,32,0),"-")</f>
        <v>137.4</v>
      </c>
      <c r="AO3" s="31">
        <f>IFERROR(VLOOKUP(AL3,A:AI,33,0),"-")</f>
        <v>73</v>
      </c>
      <c r="AP3" s="1" t="str">
        <f>IFERROR(VLOOKUP(AL3,A:AI,35,0),"-")</f>
        <v>3 verseny</v>
      </c>
    </row>
    <row r="4" spans="1:42" x14ac:dyDescent="0.25">
      <c r="A4" s="25" t="s">
        <v>27</v>
      </c>
      <c r="B4" s="18">
        <f>IFERROR(VLOOKUP(A4,'2026.03.29 évnyitó egyéni'!A:G,3,0),"nem vett részt")</f>
        <v>4.05</v>
      </c>
      <c r="C4" s="20">
        <f>IFERROR(VLOOKUP(A4,'2026.03.29 évnyitó egyéni'!A:G,4,0),"nem vett részt")</f>
        <v>5</v>
      </c>
      <c r="D4" s="20">
        <f>IFERROR(VLOOKUP(A4,'2026.03.29 évnyitó egyéni'!A:G,2,0),"-")</f>
        <v>22</v>
      </c>
      <c r="E4" s="20" t="str">
        <f>IFERROR(VLOOKUP(A4,'2026.03.29 évnyitó egyéni'!A:H,8,0),"-")</f>
        <v>B</v>
      </c>
      <c r="F4" s="18" t="str">
        <f>IFERROR(VLOOKUP(A4,'2026.03.29 évnyitó egyéni'!A:G,5,0),"-")</f>
        <v>egyéni</v>
      </c>
      <c r="G4" s="11">
        <f>IFERROR(VLOOKUP(A4,'2026.03.29 évnyitó egyéni'!A:G,7,0),25)</f>
        <v>13</v>
      </c>
      <c r="H4" s="18" t="str">
        <f>IFERROR(VLOOKUP(A4,'2026.05.9-10 20 órás páros'!A:C,3,0),"nem vett részt")</f>
        <v>nem vett részt</v>
      </c>
      <c r="I4" s="20" t="str">
        <f>IFERROR(VLOOKUP(A4,'2026.05.9-10 20 órás páros'!A:F,4,0),"-")</f>
        <v>-</v>
      </c>
      <c r="J4" s="20" t="str">
        <f>IFERROR(VLOOKUP(A4,'2026.05.9-10 20 órás páros'!A:G,2,0),"-")</f>
        <v>-</v>
      </c>
      <c r="K4" s="20" t="str">
        <f>IFERROR(VLOOKUP(A4,'2026.05.9-10 20 órás páros'!A:H,8,0),"-")</f>
        <v>-</v>
      </c>
      <c r="L4" s="20" t="str">
        <f>IFERROR(VLOOKUP(A4,'2026.05.9-10 20 órás páros'!A:I,5,0),"-")</f>
        <v>-</v>
      </c>
      <c r="M4" s="20">
        <f>IFERROR(VLOOKUP(A4,'2026.05.9-10 20 órás páros'!A:I,6,0),25)</f>
        <v>25</v>
      </c>
      <c r="N4" s="14">
        <f>IFERROR(VLOOKUP(A4,'2026.06.07 nyári egyéni'!A:D,3,0),"nem vett részt")</f>
        <v>0</v>
      </c>
      <c r="O4" s="33">
        <f>IFERROR(VLOOKUP(A4,'2026.06.07 nyári egyéni'!A:AB,4,0),"-")</f>
        <v>0</v>
      </c>
      <c r="P4" s="33">
        <f>IFERROR(VLOOKUP(A4,'2026.06.07 nyári egyéni'!A:AC,2,0),"-")</f>
        <v>20</v>
      </c>
      <c r="Q4" s="33" t="str">
        <f>IFERROR(VLOOKUP(A4,'2026.06.07 nyári egyéni'!A:AD,8,0),"-")</f>
        <v>B</v>
      </c>
      <c r="R4" s="33" t="str">
        <f>IFERROR(VLOOKUP(A4,'2026.06.07 nyári egyéni'!A:G,5,0),"-")</f>
        <v>egyéni</v>
      </c>
      <c r="S4" s="20">
        <f>IFERROR(VLOOKUP(A4,'2026.06.07 nyári egyéni'!A:G,6,0),25)</f>
        <v>24</v>
      </c>
      <c r="T4" s="23" t="str">
        <f>IFERROR(VLOOKUP(A4,'2026.08.8-9. éjszakai páros'!A:H,2,0),"nem vett részt")</f>
        <v>nem vett részt</v>
      </c>
      <c r="U4" s="23" t="str">
        <f>IFERROR(VLOOKUP(A4,'2026.08.8-9. éjszakai páros'!A:I,3,0),"-")</f>
        <v>-</v>
      </c>
      <c r="V4" s="23" t="str">
        <f>IFERROR(VLOOKUP(A4,'2026.08.8-9. éjszakai páros'!A:J,4,0),"-")</f>
        <v>-</v>
      </c>
      <c r="W4" s="23" t="str">
        <f>IFERROR(VLOOKUP(A4,'2026.08.8-9. éjszakai páros'!A:H,5,0),"-")</f>
        <v>-</v>
      </c>
      <c r="X4" s="23" t="str">
        <f>IFERROR(VLOOKUP(A4,'2026.08.8-9. éjszakai páros'!A:H,6,0),"-")</f>
        <v>-</v>
      </c>
      <c r="Y4" s="33">
        <f>IFERROR(VLOOKUP(A4,'2026.08.8-9. éjszakai páros'!A:H,8,0),25)</f>
        <v>25</v>
      </c>
      <c r="Z4" s="23" t="str">
        <f>IFERROR(VLOOKUP(A4,'2026.09.20. évzáró egyéni'!A:H,2,0),"nem vett részt")</f>
        <v>nem vett részt</v>
      </c>
      <c r="AA4" s="23" t="str">
        <f>IFERROR(VLOOKUP(A4,'2026.09.20. évzáró egyéni'!A:I,3,0),"-")</f>
        <v>-</v>
      </c>
      <c r="AB4" s="23" t="str">
        <f>IFERROR(VLOOKUP(A4,'2026.09.20. évzáró egyéni'!A:H,4,0),"-")</f>
        <v>-</v>
      </c>
      <c r="AC4" s="23" t="str">
        <f>IFERROR(VLOOKUP(A4,'2026.09.20. évzáró egyéni'!A:H,5,0),"-")</f>
        <v>-</v>
      </c>
      <c r="AD4" s="23" t="str">
        <f>IFERROR(VLOOKUP(A4,'2026.09.20. évzáró egyéni'!A:H,6,0),"-")</f>
        <v>-</v>
      </c>
      <c r="AE4" s="33">
        <f>IFERROR(VLOOKUP(A4,'2026.09.20. évzáró egyéni'!A:H,7,0),25)</f>
        <v>25</v>
      </c>
      <c r="AF4" s="3">
        <f>SUM(B4,H4,N4,T4,Z4)</f>
        <v>4.05</v>
      </c>
      <c r="AG4" s="20">
        <f>SUM(C4,I4,O4,U4,AA4)</f>
        <v>5</v>
      </c>
      <c r="AH4" s="20">
        <f>VLOOKUP(A4,'helyezési sorrend'!A:J,10,0)</f>
        <v>62</v>
      </c>
      <c r="AI4" s="9" t="str">
        <f>_xlfn.TEXTJOIN(" ",0,COUNT(B4,H4,N4,T4,Z4),"verseny")</f>
        <v>2 verseny</v>
      </c>
      <c r="AK4">
        <v>3</v>
      </c>
      <c r="AL4" s="21" t="s">
        <v>31</v>
      </c>
      <c r="AM4" s="39">
        <f>IFERROR(VLOOKUP(AL4,A:AI,34,0),"-")</f>
        <v>25</v>
      </c>
      <c r="AN4" s="30">
        <f>IFERROR(VLOOKUP(AL4,A:AI,32,0),"-")</f>
        <v>125.28999999999999</v>
      </c>
      <c r="AO4" s="31">
        <f>IFERROR(VLOOKUP(AL4,A:AI,33,0),"-")</f>
        <v>52</v>
      </c>
      <c r="AP4" s="1" t="str">
        <f>IFERROR(VLOOKUP(AL4,A:AI,35,0),"-")</f>
        <v>3 verseny</v>
      </c>
    </row>
    <row r="5" spans="1:42" x14ac:dyDescent="0.25">
      <c r="A5" s="25" t="s">
        <v>82</v>
      </c>
      <c r="B5" s="18" t="str">
        <f>IFERROR(VLOOKUP(A5,'2026.03.29 évnyitó egyéni'!A:G,3,0),"nem vett részt")</f>
        <v>nem vett részt</v>
      </c>
      <c r="C5" s="20" t="str">
        <f>IFERROR(VLOOKUP(A5,'2026.03.29 évnyitó egyéni'!A:G,4,0),"-")</f>
        <v>-</v>
      </c>
      <c r="D5" s="20" t="str">
        <f>IFERROR(VLOOKUP(A5,'2026.03.29 évnyitó egyéni'!A:G,2,0),"-")</f>
        <v>-</v>
      </c>
      <c r="E5" s="20" t="str">
        <f>IFERROR(VLOOKUP(A5,'2026.03.29 évnyitó egyéni'!A:H,8,0),"-")</f>
        <v>-</v>
      </c>
      <c r="F5" s="18" t="str">
        <f>IFERROR(VLOOKUP(A5,'2026.03.29 évnyitó egyéni'!A:G,5,0),"-")</f>
        <v>-</v>
      </c>
      <c r="G5" s="15">
        <f>IFERROR(VLOOKUP(A5,'2026.03.29 évnyitó egyéni'!A:G,7,0),25)</f>
        <v>25</v>
      </c>
      <c r="H5" s="18">
        <f>IFERROR(VLOOKUP(A5,'2026.05.9-10 20 órás páros'!A:C,3,0),"nem vett részt")</f>
        <v>19.799999999999997</v>
      </c>
      <c r="I5" s="20">
        <f>IFERROR(VLOOKUP(A5,'2026.05.9-10 20 órás páros'!A:F,4,0),"-")</f>
        <v>8</v>
      </c>
      <c r="J5" s="20">
        <f>IFERROR(VLOOKUP(A5,'2026.05.9-10 20 órás páros'!A:G,2,0),"-")</f>
        <v>9</v>
      </c>
      <c r="K5" s="20" t="str">
        <f>IFERROR(VLOOKUP(A5,'2026.05.9-10 20 órás páros'!A:H,8,0),"-")</f>
        <v>B</v>
      </c>
      <c r="L5" s="20" t="str">
        <f>IFERROR(VLOOKUP(A5,'2026.05.9-10 20 órás páros'!A:I,5,0),"-")</f>
        <v>páros</v>
      </c>
      <c r="M5" s="20">
        <f>IFERROR(VLOOKUP(A5,'2026.05.9-10 20 órás páros'!A:I,6,0),25)</f>
        <v>13</v>
      </c>
      <c r="N5" s="14">
        <f>IFERROR(VLOOKUP(A5,'2026.06.07 nyári egyéni'!A:D,3,0),"nem vett részt")</f>
        <v>11.77</v>
      </c>
      <c r="O5" s="33">
        <f>IFERROR(VLOOKUP(A5,'2026.06.07 nyári egyéni'!A:AB,4,0),"-")</f>
        <v>12</v>
      </c>
      <c r="P5" s="33">
        <f>IFERROR(VLOOKUP(A5,'2026.06.07 nyári egyéni'!A:AC,2,0),"-")</f>
        <v>4</v>
      </c>
      <c r="Q5" s="33" t="str">
        <f>IFERROR(VLOOKUP(A5,'2026.06.07 nyári egyéni'!A:AD,8,0),"-")</f>
        <v>A</v>
      </c>
      <c r="R5" s="33" t="str">
        <f>IFERROR(VLOOKUP(A5,'2026.06.07 nyári egyéni'!A:G,5,0),"-")</f>
        <v>egyéni</v>
      </c>
      <c r="S5" s="20">
        <f>IFERROR(VLOOKUP(A5,'2026.06.07 nyári egyéni'!A:G,6,0),25)</f>
        <v>20</v>
      </c>
      <c r="T5" s="23" t="str">
        <f>IFERROR(VLOOKUP(A5,'2026.08.8-9. éjszakai páros'!A:H,2,0),"nem vett részt")</f>
        <v>nem vett részt</v>
      </c>
      <c r="U5" s="23" t="str">
        <f>IFERROR(VLOOKUP(A5,'2026.08.8-9. éjszakai páros'!A:I,3,0),"-")</f>
        <v>-</v>
      </c>
      <c r="V5" s="23" t="str">
        <f>IFERROR(VLOOKUP(A5,'2026.08.8-9. éjszakai páros'!A:J,4,0),"-")</f>
        <v>-</v>
      </c>
      <c r="W5" s="23" t="str">
        <f>IFERROR(VLOOKUP(A5,'2026.08.8-9. éjszakai páros'!A:H,5,0),"-")</f>
        <v>-</v>
      </c>
      <c r="X5" s="23" t="str">
        <f>IFERROR(VLOOKUP(A5,'2026.08.8-9. éjszakai páros'!A:H,6,0),"-")</f>
        <v>-</v>
      </c>
      <c r="Y5" s="33">
        <f>IFERROR(VLOOKUP(A5,'2026.08.8-9. éjszakai páros'!A:H,8,0),25)</f>
        <v>25</v>
      </c>
      <c r="Z5" s="23" t="str">
        <f>IFERROR(VLOOKUP(A5,'2026.09.20. évzáró egyéni'!A:H,2,0),"nem vett részt")</f>
        <v>nem vett részt</v>
      </c>
      <c r="AA5" s="23" t="str">
        <f>IFERROR(VLOOKUP(A5,'2026.09.20. évzáró egyéni'!A:I,3,0),"-")</f>
        <v>-</v>
      </c>
      <c r="AB5" s="23" t="str">
        <f>IFERROR(VLOOKUP(A5,'2026.09.20. évzáró egyéni'!A:H,4,0),"-")</f>
        <v>-</v>
      </c>
      <c r="AC5" s="23" t="str">
        <f>IFERROR(VLOOKUP(A5,'2026.09.20. évzáró egyéni'!A:H,5,0),"-")</f>
        <v>-</v>
      </c>
      <c r="AD5" s="23" t="str">
        <f>IFERROR(VLOOKUP(A5,'2026.09.20. évzáró egyéni'!A:H,6,0),"-")</f>
        <v>-</v>
      </c>
      <c r="AE5" s="33">
        <f>IFERROR(VLOOKUP(A5,'2026.09.20. évzáró egyéni'!A:H,7,0),25)</f>
        <v>25</v>
      </c>
      <c r="AF5" s="3">
        <f>SUM(B5,H5,N5,T5,Z5)</f>
        <v>31.569999999999997</v>
      </c>
      <c r="AG5" s="20">
        <f>SUM(C5,I5,O5,U5,AA5)</f>
        <v>20</v>
      </c>
      <c r="AH5" s="20">
        <f>VLOOKUP(A5,'helyezési sorrend'!A:J,10,0)</f>
        <v>58</v>
      </c>
      <c r="AI5" s="9" t="str">
        <f>_xlfn.TEXTJOIN(" ",0,COUNT(B5,H5,N5,T5,Z5),"verseny")</f>
        <v>2 verseny</v>
      </c>
      <c r="AK5">
        <v>4</v>
      </c>
      <c r="AL5" s="29" t="s">
        <v>102</v>
      </c>
      <c r="AM5" s="39">
        <f>IFERROR(VLOOKUP(AL5,A:AI,34,0),"-")</f>
        <v>29</v>
      </c>
      <c r="AN5" s="30">
        <f>IFERROR(VLOOKUP(AL5,A:AI,32,0),"-")</f>
        <v>182.98000000000002</v>
      </c>
      <c r="AO5" s="31">
        <f>IFERROR(VLOOKUP(AL5,A:AI,33,0),"-")</f>
        <v>70</v>
      </c>
      <c r="AP5" s="1" t="str">
        <f>IFERROR(VLOOKUP(AL5,A:AI,35,0),"-")</f>
        <v>2 verseny</v>
      </c>
    </row>
    <row r="6" spans="1:42" x14ac:dyDescent="0.25">
      <c r="A6" s="25" t="s">
        <v>26</v>
      </c>
      <c r="B6" s="18">
        <f>IFERROR(VLOOKUP(A6,'2026.03.29 évnyitó egyéni'!A:G,3,0),"nem vett részt")</f>
        <v>15.55</v>
      </c>
      <c r="C6" s="20">
        <f>IFERROR(VLOOKUP(A6,'2026.03.29 évnyitó egyéni'!A:G,4,0),"nem vett részt")</f>
        <v>9</v>
      </c>
      <c r="D6" s="20">
        <f>IFERROR(VLOOKUP(A6,'2026.03.29 évnyitó egyéni'!A:G,2,0),"nem vett részt")</f>
        <v>18</v>
      </c>
      <c r="E6" s="20" t="str">
        <f>IFERROR(VLOOKUP(A6,'2026.03.29 évnyitó egyéni'!A:H,8,0),"-")</f>
        <v>B</v>
      </c>
      <c r="F6" s="18" t="str">
        <f>IFERROR(VLOOKUP(A6,'2026.03.29 évnyitó egyéni'!A:G,5,0),"-")</f>
        <v>egyéni</v>
      </c>
      <c r="G6" s="15">
        <f>IFERROR(VLOOKUP(A6,'2026.03.29 évnyitó egyéni'!A:G,7,0),25)</f>
        <v>10</v>
      </c>
      <c r="H6" s="18">
        <f>IFERROR(VLOOKUP(A6,'2026.05.9-10 20 órás páros'!A:C,3,0),"nem vett részt")</f>
        <v>55.420000000000009</v>
      </c>
      <c r="I6" s="20">
        <f>IFERROR(VLOOKUP(A6,'2026.05.9-10 20 órás páros'!A:F,4,0),"-")</f>
        <v>18</v>
      </c>
      <c r="J6" s="20">
        <f>IFERROR(VLOOKUP(A6,'2026.05.9-10 20 órás páros'!A:G,2,0),"-")</f>
        <v>29</v>
      </c>
      <c r="K6" s="20" t="str">
        <f>IFERROR(VLOOKUP(A6,'2026.05.9-10 20 órás páros'!A:H,8,0),"-")</f>
        <v>B</v>
      </c>
      <c r="L6" s="20" t="str">
        <f>IFERROR(VLOOKUP(A6,'2026.05.9-10 20 órás páros'!A:I,5,0),"-")</f>
        <v>páros</v>
      </c>
      <c r="M6" s="20">
        <f>IFERROR(VLOOKUP(A6,'2026.05.9-10 20 órás páros'!A:I,6,0),25)</f>
        <v>5</v>
      </c>
      <c r="N6" s="14">
        <f>IFERROR(VLOOKUP(A6,'2026.06.07 nyári egyéni'!A:D,3,0),"nem vett részt")</f>
        <v>12.19</v>
      </c>
      <c r="O6" s="33">
        <f>IFERROR(VLOOKUP(A6,'2026.06.07 nyári egyéni'!A:AB,4,0),"-")</f>
        <v>4</v>
      </c>
      <c r="P6" s="33">
        <f>IFERROR(VLOOKUP(A6,'2026.06.07 nyári egyéni'!A:AC,2,0),"-")</f>
        <v>7</v>
      </c>
      <c r="Q6" s="33" t="str">
        <f>IFERROR(VLOOKUP(A6,'2026.06.07 nyári egyéni'!A:AD,8,0),"-")</f>
        <v>A</v>
      </c>
      <c r="R6" s="33" t="str">
        <f>IFERROR(VLOOKUP(A6,'2026.06.07 nyári egyéni'!A:G,5,0),"-")</f>
        <v>egyéni</v>
      </c>
      <c r="S6" s="20">
        <f>IFERROR(VLOOKUP(A6,'2026.06.07 nyári egyéni'!A:G,6,0),25)</f>
        <v>17</v>
      </c>
      <c r="T6" s="23" t="str">
        <f>IFERROR(VLOOKUP(A6,'2026.08.8-9. éjszakai páros'!A:H,2,0),"nem vett részt")</f>
        <v>nem vett részt</v>
      </c>
      <c r="U6" s="23" t="str">
        <f>IFERROR(VLOOKUP(A6,'2026.08.8-9. éjszakai páros'!A:I,3,0),"-")</f>
        <v>-</v>
      </c>
      <c r="V6" s="23" t="str">
        <f>IFERROR(VLOOKUP(A6,'2026.08.8-9. éjszakai páros'!A:J,4,0),"-")</f>
        <v>-</v>
      </c>
      <c r="W6" s="23" t="str">
        <f>IFERROR(VLOOKUP(A6,'2026.08.8-9. éjszakai páros'!A:H,5,0),"-")</f>
        <v>-</v>
      </c>
      <c r="X6" s="23" t="str">
        <f>IFERROR(VLOOKUP(A6,'2026.08.8-9. éjszakai páros'!A:H,6,0),"-")</f>
        <v>-</v>
      </c>
      <c r="Y6" s="33">
        <f>IFERROR(VLOOKUP(A6,'2026.08.8-9. éjszakai páros'!A:H,8,0),25)</f>
        <v>25</v>
      </c>
      <c r="Z6" s="23" t="str">
        <f>IFERROR(VLOOKUP(A6,'2026.09.20. évzáró egyéni'!A:H,2,0),"nem vett részt")</f>
        <v>nem vett részt</v>
      </c>
      <c r="AA6" s="23" t="str">
        <f>IFERROR(VLOOKUP(A6,'2026.09.20. évzáró egyéni'!A:I,3,0),"-")</f>
        <v>-</v>
      </c>
      <c r="AB6" s="23" t="str">
        <f>IFERROR(VLOOKUP(A6,'2026.09.20. évzáró egyéni'!A:H,4,0),"-")</f>
        <v>-</v>
      </c>
      <c r="AC6" s="23" t="str">
        <f>IFERROR(VLOOKUP(A6,'2026.09.20. évzáró egyéni'!A:H,5,0),"-")</f>
        <v>-</v>
      </c>
      <c r="AD6" s="23" t="str">
        <f>IFERROR(VLOOKUP(A6,'2026.09.20. évzáró egyéni'!A:H,6,0),"-")</f>
        <v>-</v>
      </c>
      <c r="AE6" s="33">
        <f>IFERROR(VLOOKUP(A6,'2026.09.20. évzáró egyéni'!A:H,7,0),25)</f>
        <v>25</v>
      </c>
      <c r="AF6" s="3">
        <f>SUM(B6,H6,N6,T6,Z6)</f>
        <v>83.160000000000011</v>
      </c>
      <c r="AG6" s="20">
        <f>SUM(C6,I6,O6,U6,AA6)</f>
        <v>31</v>
      </c>
      <c r="AH6" s="20">
        <f>VLOOKUP(A6,'helyezési sorrend'!A:J,10,0)</f>
        <v>32</v>
      </c>
      <c r="AI6" s="9" t="str">
        <f>_xlfn.TEXTJOIN(" ",0,COUNT(B6,H6,N6,T6,Z6),"verseny")</f>
        <v>3 verseny</v>
      </c>
      <c r="AK6">
        <v>5</v>
      </c>
      <c r="AL6" s="21" t="s">
        <v>86</v>
      </c>
      <c r="AM6" s="39">
        <f>IFERROR(VLOOKUP(AL6,A:AI,34,0),"-")</f>
        <v>31</v>
      </c>
      <c r="AN6" s="30">
        <f>IFERROR(VLOOKUP(AL6,A:AI,32,0),"-")</f>
        <v>100.05000000000001</v>
      </c>
      <c r="AO6" s="31">
        <f>IFERROR(VLOOKUP(AL6,A:AI,33,0),"-")</f>
        <v>35</v>
      </c>
      <c r="AP6" s="1" t="str">
        <f>IFERROR(VLOOKUP(AL6,A:AI,35,0),"-")</f>
        <v>2 verseny</v>
      </c>
    </row>
    <row r="7" spans="1:42" x14ac:dyDescent="0.25">
      <c r="A7" s="25" t="s">
        <v>80</v>
      </c>
      <c r="B7" s="18" t="str">
        <f>IFERROR(VLOOKUP(A7,'2026.03.29 évnyitó egyéni'!A:G,3,0),"nem vett részt")</f>
        <v>nem vett részt</v>
      </c>
      <c r="C7" s="20" t="str">
        <f>IFERROR(VLOOKUP(A7,'2026.03.29 évnyitó egyéni'!A:G,4,0),"-")</f>
        <v>-</v>
      </c>
      <c r="D7" s="20" t="str">
        <f>IFERROR(VLOOKUP(A7,'2026.03.29 évnyitó egyéni'!A:G,2,0),"-")</f>
        <v>-</v>
      </c>
      <c r="E7" s="20" t="str">
        <f>IFERROR(VLOOKUP(A7,'2026.03.29 évnyitó egyéni'!A:H,8,0),"-")</f>
        <v>-</v>
      </c>
      <c r="F7" s="18" t="str">
        <f>IFERROR(VLOOKUP(A7,'2026.03.29 évnyitó egyéni'!A:G,5,0),"-")</f>
        <v>-</v>
      </c>
      <c r="G7" s="15">
        <f>IFERROR(VLOOKUP(A7,'2026.03.29 évnyitó egyéni'!A:G,7,0),25)</f>
        <v>25</v>
      </c>
      <c r="H7" s="18">
        <f>IFERROR(VLOOKUP(A7,'2026.05.9-10 20 órás páros'!A:C,3,0),"nem vett részt")</f>
        <v>80.89</v>
      </c>
      <c r="I7" s="20">
        <f>IFERROR(VLOOKUP(A7,'2026.05.9-10 20 órás páros'!A:F,4,0),"-")</f>
        <v>36</v>
      </c>
      <c r="J7" s="20">
        <f>IFERROR(VLOOKUP(A7,'2026.05.9-10 20 órás páros'!A:G,2,0),"-")</f>
        <v>17</v>
      </c>
      <c r="K7" s="20" t="str">
        <f>IFERROR(VLOOKUP(A7,'2026.05.9-10 20 órás páros'!A:H,8,0),"-")</f>
        <v>B</v>
      </c>
      <c r="L7" s="20" t="str">
        <f>IFERROR(VLOOKUP(A7,'2026.05.9-10 20 órás páros'!A:I,5,0),"-")</f>
        <v>páros</v>
      </c>
      <c r="M7" s="20">
        <f>IFERROR(VLOOKUP(A7,'2026.05.9-10 20 órás páros'!A:I,6,0),25)</f>
        <v>7</v>
      </c>
      <c r="N7" s="14" t="str">
        <f>IFERROR(VLOOKUP(A7,'2026.06.07 nyári egyéni'!A:D,3,0),"nem vett részt")</f>
        <v>nem vett részt</v>
      </c>
      <c r="O7" s="33" t="str">
        <f>IFERROR(VLOOKUP(A7,'2026.06.07 nyári egyéni'!A:AB,4,0),"-")</f>
        <v>-</v>
      </c>
      <c r="P7" s="33" t="str">
        <f>IFERROR(VLOOKUP(A7,'2026.06.07 nyári egyéni'!A:AC,2,0),"-")</f>
        <v>-</v>
      </c>
      <c r="Q7" s="33" t="str">
        <f>IFERROR(VLOOKUP(A7,'2026.06.07 nyári egyéni'!A:AD,8,0),"-")</f>
        <v>-</v>
      </c>
      <c r="R7" s="33" t="str">
        <f>IFERROR(VLOOKUP(A7,'2026.06.07 nyári egyéni'!A:G,5,0),"-")</f>
        <v>-</v>
      </c>
      <c r="S7" s="20">
        <f>IFERROR(VLOOKUP(A7,'2026.06.07 nyári egyéni'!A:G,6,0),25)</f>
        <v>25</v>
      </c>
      <c r="T7" s="23" t="str">
        <f>IFERROR(VLOOKUP(A7,'2026.08.8-9. éjszakai páros'!A:H,2,0),"nem vett részt")</f>
        <v>nem vett részt</v>
      </c>
      <c r="U7" s="23" t="str">
        <f>IFERROR(VLOOKUP(A7,'2026.08.8-9. éjszakai páros'!A:I,3,0),"-")</f>
        <v>-</v>
      </c>
      <c r="V7" s="23" t="str">
        <f>IFERROR(VLOOKUP(A7,'2026.08.8-9. éjszakai páros'!A:J,4,0),"-")</f>
        <v>-</v>
      </c>
      <c r="W7" s="23" t="str">
        <f>IFERROR(VLOOKUP(A7,'2026.08.8-9. éjszakai páros'!A:H,5,0),"-")</f>
        <v>-</v>
      </c>
      <c r="X7" s="23" t="str">
        <f>IFERROR(VLOOKUP(A7,'2026.08.8-9. éjszakai páros'!A:H,6,0),"-")</f>
        <v>-</v>
      </c>
      <c r="Y7" s="33">
        <f>IFERROR(VLOOKUP(A7,'2026.08.8-9. éjszakai páros'!A:H,8,0),25)</f>
        <v>25</v>
      </c>
      <c r="Z7" s="23" t="str">
        <f>IFERROR(VLOOKUP(A7,'2026.09.20. évzáró egyéni'!A:H,2,0),"nem vett részt")</f>
        <v>nem vett részt</v>
      </c>
      <c r="AA7" s="23" t="str">
        <f>IFERROR(VLOOKUP(A7,'2026.09.20. évzáró egyéni'!A:I,3,0),"-")</f>
        <v>-</v>
      </c>
      <c r="AB7" s="23" t="str">
        <f>IFERROR(VLOOKUP(A7,'2026.09.20. évzáró egyéni'!A:H,4,0),"-")</f>
        <v>-</v>
      </c>
      <c r="AC7" s="23" t="str">
        <f>IFERROR(VLOOKUP(A7,'2026.09.20. évzáró egyéni'!A:H,5,0),"-")</f>
        <v>-</v>
      </c>
      <c r="AD7" s="23" t="str">
        <f>IFERROR(VLOOKUP(A7,'2026.09.20. évzáró egyéni'!A:H,6,0),"-")</f>
        <v>-</v>
      </c>
      <c r="AE7" s="33">
        <f>IFERROR(VLOOKUP(A7,'2026.09.20. évzáró egyéni'!A:H,7,0),25)</f>
        <v>25</v>
      </c>
      <c r="AF7" s="3">
        <f>SUM(B7,H7,N7,T7,Z7)</f>
        <v>80.89</v>
      </c>
      <c r="AG7" s="20">
        <f>SUM(C7,I7,O7,U7,AA7)</f>
        <v>36</v>
      </c>
      <c r="AH7" s="20">
        <f>VLOOKUP(A7,'helyezési sorrend'!A:J,10,0)</f>
        <v>57</v>
      </c>
      <c r="AI7" s="9" t="str">
        <f>_xlfn.TEXTJOIN(" ",0,COUNT(B7,H7,N7,T7,Z7),"verseny")</f>
        <v>1 verseny</v>
      </c>
      <c r="AK7">
        <v>6</v>
      </c>
      <c r="AL7" s="21" t="s">
        <v>26</v>
      </c>
      <c r="AM7" s="39">
        <f>IFERROR(VLOOKUP(AL7,A:AI,34,0),"-")</f>
        <v>32</v>
      </c>
      <c r="AN7" s="30">
        <f>IFERROR(VLOOKUP(AL7,A:AI,32,0),"-")</f>
        <v>83.160000000000011</v>
      </c>
      <c r="AO7" s="31">
        <f>IFERROR(VLOOKUP(AL7,A:AI,33,0),"-")</f>
        <v>31</v>
      </c>
      <c r="AP7" s="1" t="str">
        <f>IFERROR(VLOOKUP(AL7,A:AI,35,0),"-")</f>
        <v>3 verseny</v>
      </c>
    </row>
    <row r="8" spans="1:42" x14ac:dyDescent="0.25">
      <c r="A8" s="25" t="s">
        <v>25</v>
      </c>
      <c r="B8" s="18">
        <f>IFERROR(VLOOKUP(A8,'2026.03.29 évnyitó egyéni'!A:G,3,0),"nem vett részt")</f>
        <v>41.31</v>
      </c>
      <c r="C8" s="20">
        <f>IFERROR(VLOOKUP(A8,'2026.03.29 évnyitó egyéni'!A:G,4,0),"nem vett részt")</f>
        <v>27</v>
      </c>
      <c r="D8" s="20">
        <f>IFERROR(VLOOKUP(A8,'2026.03.29 évnyitó egyéni'!A:G,2,0),"nem vett részt")</f>
        <v>16</v>
      </c>
      <c r="E8" s="20" t="str">
        <f>IFERROR(VLOOKUP(A8,'2026.03.29 évnyitó egyéni'!A:H,8,0),"-")</f>
        <v>B</v>
      </c>
      <c r="F8" s="18" t="str">
        <f>IFERROR(VLOOKUP(A8,'2026.03.29 évnyitó egyéni'!A:G,5,0),"-")</f>
        <v>egyéni</v>
      </c>
      <c r="G8" s="15">
        <f>IFERROR(VLOOKUP(A8,'2026.03.29 évnyitó egyéni'!A:G,7,0),25)</f>
        <v>3</v>
      </c>
      <c r="H8" s="18">
        <f>IFERROR(VLOOKUP(A8,'2026.05.9-10 20 órás páros'!A:C,3,0),"nem vett részt")</f>
        <v>80.42</v>
      </c>
      <c r="I8" s="20">
        <f>IFERROR(VLOOKUP(A8,'2026.05.9-10 20 órás páros'!A:F,4,0),"-")</f>
        <v>25</v>
      </c>
      <c r="J8" s="20">
        <f>IFERROR(VLOOKUP(A8,'2026.05.9-10 20 órás páros'!A:G,2,0),"-")</f>
        <v>22</v>
      </c>
      <c r="K8" s="20" t="str">
        <f>IFERROR(VLOOKUP(A8,'2026.05.9-10 20 órás páros'!A:H,8,0),"-")</f>
        <v>B</v>
      </c>
      <c r="L8" s="20" t="str">
        <f>IFERROR(VLOOKUP(A8,'2026.05.9-10 20 órás páros'!A:I,5,0),"-")</f>
        <v>páros</v>
      </c>
      <c r="M8" s="20">
        <f>IFERROR(VLOOKUP(A8,'2026.05.9-10 20 órás páros'!A:I,6,0),25)</f>
        <v>4</v>
      </c>
      <c r="N8" s="14">
        <f>IFERROR(VLOOKUP(A8,'2026.06.07 nyári egyéni'!A:D,3,0),"nem vett részt")</f>
        <v>15.67</v>
      </c>
      <c r="O8" s="33">
        <f>IFERROR(VLOOKUP(A8,'2026.06.07 nyári egyéni'!A:AB,4,0),"-")</f>
        <v>21</v>
      </c>
      <c r="P8" s="33">
        <f>IFERROR(VLOOKUP(A8,'2026.06.07 nyári egyéni'!A:AC,2,0),"-")</f>
        <v>38</v>
      </c>
      <c r="Q8" s="33" t="str">
        <f>IFERROR(VLOOKUP(A8,'2026.06.07 nyári egyéni'!A:AD,8,0),"-")</f>
        <v>C</v>
      </c>
      <c r="R8" s="33" t="str">
        <f>IFERROR(VLOOKUP(A8,'2026.06.07 nyári egyéni'!A:G,5,0),"-")</f>
        <v>egyéni</v>
      </c>
      <c r="S8" s="20">
        <f>IFERROR(VLOOKUP(A8,'2026.06.07 nyári egyéni'!A:G,6,0),25)</f>
        <v>14</v>
      </c>
      <c r="T8" s="23" t="str">
        <f>IFERROR(VLOOKUP(A8,'2026.08.8-9. éjszakai páros'!A:H,2,0),"nem vett részt")</f>
        <v>nem vett részt</v>
      </c>
      <c r="U8" s="23" t="str">
        <f>IFERROR(VLOOKUP(A8,'2026.08.8-9. éjszakai páros'!A:I,3,0),"-")</f>
        <v>-</v>
      </c>
      <c r="V8" s="23" t="str">
        <f>IFERROR(VLOOKUP(A8,'2026.08.8-9. éjszakai páros'!A:J,4,0),"-")</f>
        <v>-</v>
      </c>
      <c r="W8" s="23" t="str">
        <f>IFERROR(VLOOKUP(A8,'2026.08.8-9. éjszakai páros'!A:H,5,0),"-")</f>
        <v>-</v>
      </c>
      <c r="X8" s="23" t="str">
        <f>IFERROR(VLOOKUP(A8,'2026.08.8-9. éjszakai páros'!A:H,6,0),"-")</f>
        <v>-</v>
      </c>
      <c r="Y8" s="33">
        <f>IFERROR(VLOOKUP(A8,'2026.08.8-9. éjszakai páros'!A:H,8,0),25)</f>
        <v>25</v>
      </c>
      <c r="Z8" s="23" t="str">
        <f>IFERROR(VLOOKUP(A8,'2026.09.20. évzáró egyéni'!A:H,2,0),"nem vett részt")</f>
        <v>nem vett részt</v>
      </c>
      <c r="AA8" s="23" t="str">
        <f>IFERROR(VLOOKUP(A8,'2026.09.20. évzáró egyéni'!A:I,3,0),"-")</f>
        <v>-</v>
      </c>
      <c r="AB8" s="23" t="str">
        <f>IFERROR(VLOOKUP(A8,'2026.09.20. évzáró egyéni'!A:H,4,0),"-")</f>
        <v>-</v>
      </c>
      <c r="AC8" s="23" t="str">
        <f>IFERROR(VLOOKUP(A8,'2026.09.20. évzáró egyéni'!A:H,5,0),"-")</f>
        <v>-</v>
      </c>
      <c r="AD8" s="23" t="str">
        <f>IFERROR(VLOOKUP(A8,'2026.09.20. évzáró egyéni'!A:H,6,0),"-")</f>
        <v>-</v>
      </c>
      <c r="AE8" s="33">
        <f>IFERROR(VLOOKUP(A8,'2026.09.20. évzáró egyéni'!A:H,7,0),25)</f>
        <v>25</v>
      </c>
      <c r="AF8" s="3">
        <f>SUM(B8,H8,N8,T8,Z8)</f>
        <v>137.4</v>
      </c>
      <c r="AG8" s="20">
        <f>SUM(C8,I8,O8,U8,AA8)</f>
        <v>73</v>
      </c>
      <c r="AH8" s="20">
        <f>VLOOKUP(A8,'helyezési sorrend'!A:J,10,0)</f>
        <v>21</v>
      </c>
      <c r="AI8" s="9" t="str">
        <f>_xlfn.TEXTJOIN(" ",0,COUNT(B8,H8,N8,T8,Z8),"verseny")</f>
        <v>3 verseny</v>
      </c>
      <c r="AK8">
        <v>7</v>
      </c>
      <c r="AL8" s="29" t="s">
        <v>98</v>
      </c>
      <c r="AM8" s="39">
        <f>IFERROR(VLOOKUP(AL8,A:AI,34,0),"-")</f>
        <v>35</v>
      </c>
      <c r="AN8" s="30">
        <f>IFERROR(VLOOKUP(AL8,A:AI,32,0),"-")</f>
        <v>82.739999999999981</v>
      </c>
      <c r="AO8" s="31">
        <f>IFERROR(VLOOKUP(AL8,A:AI,33,0),"-")</f>
        <v>36</v>
      </c>
      <c r="AP8" s="1" t="str">
        <f>IFERROR(VLOOKUP(AL8,A:AI,35,0),"-")</f>
        <v>2 verseny</v>
      </c>
    </row>
    <row r="9" spans="1:42" x14ac:dyDescent="0.25">
      <c r="A9" s="25" t="s">
        <v>79</v>
      </c>
      <c r="B9" s="18" t="str">
        <f>IFERROR(VLOOKUP(A9,'2026.03.29 évnyitó egyéni'!A:G,3,0),"nem vett részt")</f>
        <v>nem vett részt</v>
      </c>
      <c r="C9" s="20" t="str">
        <f>IFERROR(VLOOKUP(A9,'2026.03.29 évnyitó egyéni'!A:G,4,0),"-")</f>
        <v>-</v>
      </c>
      <c r="D9" s="20" t="str">
        <f>IFERROR(VLOOKUP(A9,'2026.03.29 évnyitó egyéni'!A:G,2,0),"-")</f>
        <v>-</v>
      </c>
      <c r="E9" s="20" t="str">
        <f>IFERROR(VLOOKUP(A9,'2026.03.29 évnyitó egyéni'!A:H,8,0),"-")</f>
        <v>-</v>
      </c>
      <c r="F9" s="18" t="str">
        <f>IFERROR(VLOOKUP(A9,'2026.03.29 évnyitó egyéni'!A:G,5,0),"-")</f>
        <v>-</v>
      </c>
      <c r="G9" s="15">
        <f>IFERROR(VLOOKUP(A9,'2026.03.29 évnyitó egyéni'!A:G,7,0),25)</f>
        <v>25</v>
      </c>
      <c r="H9" s="18">
        <f>IFERROR(VLOOKUP(A9,'2026.05.9-10 20 órás páros'!A:C,3,0),"nem vett részt")</f>
        <v>40.729999999999997</v>
      </c>
      <c r="I9" s="20">
        <f>IFERROR(VLOOKUP(A9,'2026.05.9-10 20 órás páros'!A:F,4,0),"-")</f>
        <v>24</v>
      </c>
      <c r="J9" s="20">
        <f>IFERROR(VLOOKUP(A9,'2026.05.9-10 20 órás páros'!A:G,2,0),"-")</f>
        <v>18</v>
      </c>
      <c r="K9" s="20" t="str">
        <f>IFERROR(VLOOKUP(A9,'2026.05.9-10 20 órás páros'!A:H,8,0),"-")</f>
        <v>B</v>
      </c>
      <c r="L9" s="20" t="str">
        <f>IFERROR(VLOOKUP(A9,'2026.05.9-10 20 órás páros'!A:I,5,0),"-")</f>
        <v>páros</v>
      </c>
      <c r="M9" s="20">
        <f>IFERROR(VLOOKUP(A9,'2026.05.9-10 20 órás páros'!A:I,6,0),25)</f>
        <v>7</v>
      </c>
      <c r="N9" s="14" t="str">
        <f>IFERROR(VLOOKUP(A9,'2026.06.07 nyári egyéni'!A:D,3,0),"nem vett részt")</f>
        <v>nem vett részt</v>
      </c>
      <c r="O9" s="33" t="str">
        <f>IFERROR(VLOOKUP(A9,'2026.06.07 nyári egyéni'!A:AB,4,0),"-")</f>
        <v>-</v>
      </c>
      <c r="P9" s="33" t="str">
        <f>IFERROR(VLOOKUP(A9,'2026.06.07 nyári egyéni'!A:AC,2,0),"-")</f>
        <v>-</v>
      </c>
      <c r="Q9" s="33" t="str">
        <f>IFERROR(VLOOKUP(A9,'2026.06.07 nyári egyéni'!A:AD,8,0),"-")</f>
        <v>-</v>
      </c>
      <c r="R9" s="33" t="str">
        <f>IFERROR(VLOOKUP(A9,'2026.06.07 nyári egyéni'!A:G,5,0),"-")</f>
        <v>-</v>
      </c>
      <c r="S9" s="20">
        <f>IFERROR(VLOOKUP(A9,'2026.06.07 nyári egyéni'!A:G,6,0),25)</f>
        <v>25</v>
      </c>
      <c r="T9" s="23" t="str">
        <f>IFERROR(VLOOKUP(A9,'2026.08.8-9. éjszakai páros'!A:H,2,0),"nem vett részt")</f>
        <v>nem vett részt</v>
      </c>
      <c r="U9" s="23" t="str">
        <f>IFERROR(VLOOKUP(A9,'2026.08.8-9. éjszakai páros'!A:I,3,0),"-")</f>
        <v>-</v>
      </c>
      <c r="V9" s="23" t="str">
        <f>IFERROR(VLOOKUP(A9,'2026.08.8-9. éjszakai páros'!A:J,4,0),"-")</f>
        <v>-</v>
      </c>
      <c r="W9" s="23" t="str">
        <f>IFERROR(VLOOKUP(A9,'2026.08.8-9. éjszakai páros'!A:H,5,0),"-")</f>
        <v>-</v>
      </c>
      <c r="X9" s="23" t="str">
        <f>IFERROR(VLOOKUP(A9,'2026.08.8-9. éjszakai páros'!A:H,6,0),"-")</f>
        <v>-</v>
      </c>
      <c r="Y9" s="33">
        <f>IFERROR(VLOOKUP(A9,'2026.08.8-9. éjszakai páros'!A:H,8,0),25)</f>
        <v>25</v>
      </c>
      <c r="Z9" s="23" t="str">
        <f>IFERROR(VLOOKUP(A9,'2026.09.20. évzáró egyéni'!A:H,2,0),"nem vett részt")</f>
        <v>nem vett részt</v>
      </c>
      <c r="AA9" s="23" t="str">
        <f>IFERROR(VLOOKUP(A9,'2026.09.20. évzáró egyéni'!A:I,3,0),"-")</f>
        <v>-</v>
      </c>
      <c r="AB9" s="23" t="str">
        <f>IFERROR(VLOOKUP(A9,'2026.09.20. évzáró egyéni'!A:H,4,0),"-")</f>
        <v>-</v>
      </c>
      <c r="AC9" s="23" t="str">
        <f>IFERROR(VLOOKUP(A9,'2026.09.20. évzáró egyéni'!A:H,5,0),"-")</f>
        <v>-</v>
      </c>
      <c r="AD9" s="23" t="str">
        <f>IFERROR(VLOOKUP(A9,'2026.09.20. évzáró egyéni'!A:H,6,0),"-")</f>
        <v>-</v>
      </c>
      <c r="AE9" s="33">
        <f>IFERROR(VLOOKUP(A9,'2026.09.20. évzáró egyéni'!A:H,7,0),25)</f>
        <v>25</v>
      </c>
      <c r="AF9" s="3">
        <f>SUM(B9,H9,N9,T9,Z9)</f>
        <v>40.729999999999997</v>
      </c>
      <c r="AG9" s="20">
        <f>SUM(C9,I9,O9,U9,AA9)</f>
        <v>24</v>
      </c>
      <c r="AH9" s="20">
        <f>VLOOKUP(A9,'helyezési sorrend'!A:J,10,0)</f>
        <v>57</v>
      </c>
      <c r="AI9" s="9" t="str">
        <f>_xlfn.TEXTJOIN(" ",0,COUNT(B9,H9,N9,T9,Z9),"verseny")</f>
        <v>1 verseny</v>
      </c>
      <c r="AK9">
        <v>8</v>
      </c>
      <c r="AL9" s="21" t="s">
        <v>100</v>
      </c>
      <c r="AM9" s="39">
        <f>IFERROR(VLOOKUP(AL9,A:AI,34,0),"-")</f>
        <v>35</v>
      </c>
      <c r="AN9" s="30">
        <f>IFERROR(VLOOKUP(AL9,A:AI,32,0),"-")</f>
        <v>109.16</v>
      </c>
      <c r="AO9" s="31">
        <f>IFERROR(VLOOKUP(AL9,A:AI,33,0),"-")</f>
        <v>41</v>
      </c>
      <c r="AP9" s="1" t="str">
        <f>IFERROR(VLOOKUP(AL9,A:AI,35,0),"-")</f>
        <v>2 verseny</v>
      </c>
    </row>
    <row r="10" spans="1:42" x14ac:dyDescent="0.25">
      <c r="A10" s="25" t="s">
        <v>101</v>
      </c>
      <c r="B10" s="18" t="str">
        <f>IFERROR(VLOOKUP(A10,'2026.03.29 évnyitó egyéni'!A:G,3,0),"nem vett részt")</f>
        <v>nem vett részt</v>
      </c>
      <c r="C10" s="20" t="str">
        <f>IFERROR(VLOOKUP(A10,'2026.03.29 évnyitó egyéni'!A:G,4,0),"-")</f>
        <v>-</v>
      </c>
      <c r="D10" s="20" t="str">
        <f>IFERROR(VLOOKUP(A10,'2026.03.29 évnyitó egyéni'!A:G,2,0),"-")</f>
        <v>-</v>
      </c>
      <c r="E10" s="20" t="str">
        <f>IFERROR(VLOOKUP(A10,'2026.03.29 évnyitó egyéni'!A:H,8,0),"-")</f>
        <v>-</v>
      </c>
      <c r="F10" s="18" t="str">
        <f>IFERROR(VLOOKUP(A10,'2026.03.29 évnyitó egyéni'!A:G,5,0),"-")</f>
        <v>-</v>
      </c>
      <c r="G10" s="15">
        <f>IFERROR(VLOOKUP(A10,'2026.03.29 évnyitó egyéni'!A:G,7,0),25)</f>
        <v>25</v>
      </c>
      <c r="H10" s="18">
        <f>IFERROR(VLOOKUP(A10,'2026.05.9-10 20 órás páros'!A:C,3,0),"nem vett részt")</f>
        <v>71.67</v>
      </c>
      <c r="I10" s="20">
        <f>IFERROR(VLOOKUP(A10,'2026.05.9-10 20 órás páros'!A:F,4,0),"-")</f>
        <v>25</v>
      </c>
      <c r="J10" s="20">
        <f>IFERROR(VLOOKUP(A10,'2026.05.9-10 20 órás páros'!A:G,2,0),"-")</f>
        <v>59</v>
      </c>
      <c r="K10" s="20" t="str">
        <f>IFERROR(VLOOKUP(A10,'2026.05.9-10 20 órás páros'!A:H,8,0),"-")</f>
        <v>A</v>
      </c>
      <c r="L10" s="20" t="str">
        <f>IFERROR(VLOOKUP(A10,'2026.05.9-10 20 órás páros'!A:I,5,0),"-")</f>
        <v>páros</v>
      </c>
      <c r="M10" s="20">
        <f>IFERROR(VLOOKUP(A10,'2026.05.9-10 20 órás páros'!A:I,6,0),25)</f>
        <v>3</v>
      </c>
      <c r="N10" s="14">
        <f>IFERROR(VLOOKUP(A10,'2026.06.07 nyári egyéni'!A:D,3,0),"nem vett részt")</f>
        <v>23.55</v>
      </c>
      <c r="O10" s="33">
        <f>IFERROR(VLOOKUP(A10,'2026.06.07 nyári egyéni'!A:AB,4,0),"-")</f>
        <v>11</v>
      </c>
      <c r="P10" s="33">
        <f>IFERROR(VLOOKUP(A10,'2026.06.07 nyári egyéni'!A:AC,2,0),"-")</f>
        <v>19</v>
      </c>
      <c r="Q10" s="33" t="str">
        <f>IFERROR(VLOOKUP(A10,'2026.06.07 nyári egyéni'!A:AD,8,0),"-")</f>
        <v>B</v>
      </c>
      <c r="R10" s="33" t="str">
        <f>IFERROR(VLOOKUP(A10,'2026.06.07 nyári egyéni'!A:G,5,0),"-")</f>
        <v>egyéni</v>
      </c>
      <c r="S10" s="20">
        <f>IFERROR(VLOOKUP(A10,'2026.06.07 nyári egyéni'!A:G,6,0),25)</f>
        <v>13</v>
      </c>
      <c r="T10" s="23" t="str">
        <f>IFERROR(VLOOKUP(A10,'2026.08.8-9. éjszakai páros'!A:H,2,0),"nem vett részt")</f>
        <v>nem vett részt</v>
      </c>
      <c r="U10" s="23" t="str">
        <f>IFERROR(VLOOKUP(A10,'2026.08.8-9. éjszakai páros'!A:I,3,0),"-")</f>
        <v>-</v>
      </c>
      <c r="V10" s="23" t="str">
        <f>IFERROR(VLOOKUP(A10,'2026.08.8-9. éjszakai páros'!A:J,4,0),"-")</f>
        <v>-</v>
      </c>
      <c r="W10" s="23" t="str">
        <f>IFERROR(VLOOKUP(A10,'2026.08.8-9. éjszakai páros'!A:H,5,0),"-")</f>
        <v>-</v>
      </c>
      <c r="X10" s="23" t="str">
        <f>IFERROR(VLOOKUP(A10,'2026.08.8-9. éjszakai páros'!A:H,6,0),"-")</f>
        <v>-</v>
      </c>
      <c r="Y10" s="33">
        <f>IFERROR(VLOOKUP(A10,'2026.08.8-9. éjszakai páros'!A:H,8,0),25)</f>
        <v>25</v>
      </c>
      <c r="Z10" s="23" t="str">
        <f>IFERROR(VLOOKUP(A10,'2026.09.20. évzáró egyéni'!A:H,2,0),"nem vett részt")</f>
        <v>nem vett részt</v>
      </c>
      <c r="AA10" s="23" t="str">
        <f>IFERROR(VLOOKUP(A10,'2026.09.20. évzáró egyéni'!A:I,3,0),"-")</f>
        <v>-</v>
      </c>
      <c r="AB10" s="23" t="str">
        <f>IFERROR(VLOOKUP(A10,'2026.09.20. évzáró egyéni'!A:H,4,0),"-")</f>
        <v>-</v>
      </c>
      <c r="AC10" s="23" t="str">
        <f>IFERROR(VLOOKUP(A10,'2026.09.20. évzáró egyéni'!A:H,5,0),"-")</f>
        <v>-</v>
      </c>
      <c r="AD10" s="23" t="str">
        <f>IFERROR(VLOOKUP(A10,'2026.09.20. évzáró egyéni'!A:H,6,0),"-")</f>
        <v>-</v>
      </c>
      <c r="AE10" s="33">
        <f>IFERROR(VLOOKUP(A10,'2026.09.20. évzáró egyéni'!A:H,7,0),25)</f>
        <v>25</v>
      </c>
      <c r="AF10" s="3">
        <f>SUM(B10,H10,N10,T10,Z10)</f>
        <v>95.22</v>
      </c>
      <c r="AG10" s="20">
        <f>SUM(C10,I10,O10,U10,AA10)</f>
        <v>36</v>
      </c>
      <c r="AH10" s="20">
        <f>VLOOKUP(A10,'helyezési sorrend'!A:J,10,0)</f>
        <v>41</v>
      </c>
      <c r="AI10" s="9" t="str">
        <f>_xlfn.TEXTJOIN(" ",0,COUNT(B10,H10,N10,T10,Z10),"verseny")</f>
        <v>2 verseny</v>
      </c>
      <c r="AK10">
        <v>9</v>
      </c>
      <c r="AL10" s="21" t="s">
        <v>7</v>
      </c>
      <c r="AM10" s="39">
        <f>IFERROR(VLOOKUP(AL10,A:AI,34,0),"-")</f>
        <v>36</v>
      </c>
      <c r="AN10" s="30">
        <f>IFERROR(VLOOKUP(AL10,A:AI,32,0),"-")</f>
        <v>53.47</v>
      </c>
      <c r="AO10" s="31">
        <f>IFERROR(VLOOKUP(AL10,A:AI,33,0),"-")</f>
        <v>40</v>
      </c>
      <c r="AP10" s="1" t="str">
        <f>IFERROR(VLOOKUP(AL10,A:AI,35,0),"-")</f>
        <v>2 verseny</v>
      </c>
    </row>
    <row r="11" spans="1:42" x14ac:dyDescent="0.25">
      <c r="A11" s="25" t="s">
        <v>153</v>
      </c>
      <c r="B11" s="18" t="str">
        <f>IFERROR(VLOOKUP(A11,'2026.03.29 évnyitó egyéni'!A:G,3,0),"nem vett részt")</f>
        <v>nem vett részt</v>
      </c>
      <c r="C11" s="20" t="str">
        <f>IFERROR(VLOOKUP(A11,'2026.03.29 évnyitó egyéni'!A:G,4,0),"-")</f>
        <v>-</v>
      </c>
      <c r="D11" s="20" t="str">
        <f>IFERROR(VLOOKUP(A11,'2026.03.29 évnyitó egyéni'!A:G,2,0),"-")</f>
        <v>-</v>
      </c>
      <c r="E11" s="20" t="str">
        <f>IFERROR(VLOOKUP(A11,'2026.03.29 évnyitó egyéni'!A:H,8,0),"-")</f>
        <v>-</v>
      </c>
      <c r="F11" s="18" t="str">
        <f>IFERROR(VLOOKUP(A11,'2026.03.29 évnyitó egyéni'!A:G,5,0),"-")</f>
        <v>-</v>
      </c>
      <c r="G11" s="15">
        <f>IFERROR(VLOOKUP(A11,'2026.03.29 évnyitó egyéni'!A:G,7,0),25)</f>
        <v>25</v>
      </c>
      <c r="H11" s="18" t="str">
        <f>IFERROR(VLOOKUP(A11,'2026.05.9-10 20 órás páros'!A:C,3,0),"nem vett részt")</f>
        <v>nem vett részt</v>
      </c>
      <c r="I11" s="20" t="str">
        <f>IFERROR(VLOOKUP(A11,'2026.05.9-10 20 órás páros'!A:F,4,0),"-")</f>
        <v>-</v>
      </c>
      <c r="J11" s="20" t="str">
        <f>IFERROR(VLOOKUP(A11,'2026.05.9-10 20 órás páros'!A:G,2,0),"-")</f>
        <v>-</v>
      </c>
      <c r="K11" s="20" t="str">
        <f>IFERROR(VLOOKUP(A11,'2026.05.9-10 20 órás páros'!A:H,8,0),"-")</f>
        <v>-</v>
      </c>
      <c r="L11" s="20" t="str">
        <f>IFERROR(VLOOKUP(A11,'2026.05.9-10 20 órás páros'!A:I,5,0),"-")</f>
        <v>-</v>
      </c>
      <c r="M11" s="20">
        <f>IFERROR(VLOOKUP(A11,'2026.05.9-10 20 órás páros'!A:I,6,0),25)</f>
        <v>25</v>
      </c>
      <c r="N11" s="14">
        <f>IFERROR(VLOOKUP(A11,'2026.06.07 nyári egyéni'!A:D,3,0),"nem vett részt")</f>
        <v>13.56</v>
      </c>
      <c r="O11" s="33">
        <f>IFERROR(VLOOKUP(A11,'2026.06.07 nyári egyéni'!A:AB,4,0),"-")</f>
        <v>7</v>
      </c>
      <c r="P11" s="33">
        <f>IFERROR(VLOOKUP(A11,'2026.06.07 nyári egyéni'!A:AC,2,0),"-")</f>
        <v>34</v>
      </c>
      <c r="Q11" s="33" t="str">
        <f>IFERROR(VLOOKUP(A11,'2026.06.07 nyári egyéni'!A:AD,8,0),"-")</f>
        <v>C</v>
      </c>
      <c r="R11" s="33" t="str">
        <f>IFERROR(VLOOKUP(A11,'2026.06.07 nyári egyéni'!A:G,5,0),"-")</f>
        <v>egyéni</v>
      </c>
      <c r="S11" s="20">
        <f>IFERROR(VLOOKUP(A11,'2026.06.07 nyári egyéni'!A:G,6,0),25)</f>
        <v>16</v>
      </c>
      <c r="T11" s="23" t="str">
        <f>IFERROR(VLOOKUP(A11,'2026.08.8-9. éjszakai páros'!A:H,2,0),"nem vett részt")</f>
        <v>nem vett részt</v>
      </c>
      <c r="U11" s="23" t="str">
        <f>IFERROR(VLOOKUP(A11,'2026.08.8-9. éjszakai páros'!A:I,3,0),"-")</f>
        <v>-</v>
      </c>
      <c r="V11" s="23" t="str">
        <f>IFERROR(VLOOKUP(A11,'2026.08.8-9. éjszakai páros'!A:J,4,0),"-")</f>
        <v>-</v>
      </c>
      <c r="W11" s="23" t="str">
        <f>IFERROR(VLOOKUP(A11,'2026.08.8-9. éjszakai páros'!A:H,5,0),"-")</f>
        <v>-</v>
      </c>
      <c r="X11" s="23" t="str">
        <f>IFERROR(VLOOKUP(A11,'2026.08.8-9. éjszakai páros'!A:H,6,0),"-")</f>
        <v>-</v>
      </c>
      <c r="Y11" s="33">
        <f>IFERROR(VLOOKUP(A11,'2026.08.8-9. éjszakai páros'!A:H,8,0),25)</f>
        <v>25</v>
      </c>
      <c r="Z11" s="23" t="str">
        <f>IFERROR(VLOOKUP(A11,'2026.09.20. évzáró egyéni'!A:H,2,0),"nem vett részt")</f>
        <v>nem vett részt</v>
      </c>
      <c r="AA11" s="23" t="str">
        <f>IFERROR(VLOOKUP(A11,'2026.09.20. évzáró egyéni'!A:I,3,0),"-")</f>
        <v>-</v>
      </c>
      <c r="AB11" s="23" t="str">
        <f>IFERROR(VLOOKUP(A11,'2026.09.20. évzáró egyéni'!A:H,4,0),"-")</f>
        <v>-</v>
      </c>
      <c r="AC11" s="23" t="str">
        <f>IFERROR(VLOOKUP(A11,'2026.09.20. évzáró egyéni'!A:H,5,0),"-")</f>
        <v>-</v>
      </c>
      <c r="AD11" s="23" t="str">
        <f>IFERROR(VLOOKUP(A11,'2026.09.20. évzáró egyéni'!A:H,6,0),"-")</f>
        <v>-</v>
      </c>
      <c r="AE11" s="33">
        <f>IFERROR(VLOOKUP(A11,'2026.09.20. évzáró egyéni'!A:H,7,0),25)</f>
        <v>25</v>
      </c>
      <c r="AF11" s="3">
        <f>SUM(B11,H11,N11,T11,Z11)</f>
        <v>13.56</v>
      </c>
      <c r="AG11" s="20">
        <f>SUM(C11,I11,O11,U11,AA11)</f>
        <v>7</v>
      </c>
      <c r="AH11" s="20">
        <f>VLOOKUP(A11,'helyezési sorrend'!A:J,10,0)</f>
        <v>66</v>
      </c>
      <c r="AI11" s="9" t="str">
        <f>_xlfn.TEXTJOIN(" ",0,COUNT(B11,H11,N11,T11,Z11),"verseny")</f>
        <v>1 verseny</v>
      </c>
      <c r="AK11">
        <v>10</v>
      </c>
      <c r="AL11" s="21" t="s">
        <v>5</v>
      </c>
      <c r="AM11" s="39">
        <f>IFERROR(VLOOKUP(AL11,A:AI,34,0),"-")</f>
        <v>37</v>
      </c>
      <c r="AN11" s="30">
        <f>IFERROR(VLOOKUP(AL11,A:AI,32,0),"-")</f>
        <v>31.740000000000002</v>
      </c>
      <c r="AO11" s="31">
        <f>IFERROR(VLOOKUP(AL11,A:AI,33,0),"-")</f>
        <v>33</v>
      </c>
      <c r="AP11" s="1" t="str">
        <f>IFERROR(VLOOKUP(AL11,A:AI,35,0),"-")</f>
        <v>3 verseny</v>
      </c>
    </row>
    <row r="12" spans="1:42" x14ac:dyDescent="0.25">
      <c r="A12" s="25" t="s">
        <v>99</v>
      </c>
      <c r="B12" s="18" t="str">
        <f>IFERROR(VLOOKUP(A12,'2026.03.29 évnyitó egyéni'!A:G,3,0),"nem vett részt")</f>
        <v>nem vett részt</v>
      </c>
      <c r="C12" s="20" t="str">
        <f>IFERROR(VLOOKUP(A12,'2026.03.29 évnyitó egyéni'!A:G,4,0),"-")</f>
        <v>-</v>
      </c>
      <c r="D12" s="20" t="str">
        <f>IFERROR(VLOOKUP(A12,'2026.03.29 évnyitó egyéni'!A:G,2,0),"-")</f>
        <v>-</v>
      </c>
      <c r="E12" s="20" t="str">
        <f>IFERROR(VLOOKUP(A12,'2026.03.29 évnyitó egyéni'!A:H,8,0),"-")</f>
        <v>-</v>
      </c>
      <c r="F12" s="18" t="str">
        <f>IFERROR(VLOOKUP(A12,'2026.03.29 évnyitó egyéni'!A:G,5,0),"-")</f>
        <v>-</v>
      </c>
      <c r="G12" s="15">
        <f>IFERROR(VLOOKUP(A12,'2026.03.29 évnyitó egyéni'!A:G,7,0),25)</f>
        <v>25</v>
      </c>
      <c r="H12" s="18">
        <f>IFERROR(VLOOKUP(A12,'2026.05.9-10 20 órás páros'!A:C,3,0),"nem vett részt")</f>
        <v>86.009999999999991</v>
      </c>
      <c r="I12" s="20">
        <f>IFERROR(VLOOKUP(A12,'2026.05.9-10 20 órás páros'!A:F,4,0),"-")</f>
        <v>39</v>
      </c>
      <c r="J12" s="20">
        <f>IFERROR(VLOOKUP(A12,'2026.05.9-10 20 órás páros'!A:G,2,0),"-")</f>
        <v>61</v>
      </c>
      <c r="K12" s="20" t="str">
        <f>IFERROR(VLOOKUP(A12,'2026.05.9-10 20 órás páros'!A:H,8,0),"-")</f>
        <v>A</v>
      </c>
      <c r="L12" s="20" t="str">
        <f>IFERROR(VLOOKUP(A12,'2026.05.9-10 20 órás páros'!A:I,5,0),"-")</f>
        <v>páros</v>
      </c>
      <c r="M12" s="20">
        <f>IFERROR(VLOOKUP(A12,'2026.05.9-10 20 órás páros'!A:I,6,0),25)</f>
        <v>2</v>
      </c>
      <c r="N12" s="14">
        <f>IFERROR(VLOOKUP(A12,'2026.06.07 nyári egyéni'!A:D,3,0),"nem vett részt")</f>
        <v>16.3</v>
      </c>
      <c r="O12" s="33">
        <f>IFERROR(VLOOKUP(A12,'2026.06.07 nyári egyéni'!A:AB,4,0),"-")</f>
        <v>13</v>
      </c>
      <c r="P12" s="33">
        <f>IFERROR(VLOOKUP(A12,'2026.06.07 nyári egyéni'!A:AC,2,0),"-")</f>
        <v>31</v>
      </c>
      <c r="Q12" s="33" t="str">
        <f>IFERROR(VLOOKUP(A12,'2026.06.07 nyári egyéni'!A:AD,8,0),"-")</f>
        <v>C</v>
      </c>
      <c r="R12" s="33" t="str">
        <f>IFERROR(VLOOKUP(A12,'2026.06.07 nyári egyéni'!A:G,5,0),"-")</f>
        <v>egyéni</v>
      </c>
      <c r="S12" s="20">
        <f>IFERROR(VLOOKUP(A12,'2026.06.07 nyári egyéni'!A:G,6,0),25)</f>
        <v>12</v>
      </c>
      <c r="T12" s="23" t="str">
        <f>IFERROR(VLOOKUP(A12,'2026.08.8-9. éjszakai páros'!A:H,2,0),"nem vett részt")</f>
        <v>nem vett részt</v>
      </c>
      <c r="U12" s="23" t="str">
        <f>IFERROR(VLOOKUP(A12,'2026.08.8-9. éjszakai páros'!A:I,3,0),"-")</f>
        <v>-</v>
      </c>
      <c r="V12" s="23" t="str">
        <f>IFERROR(VLOOKUP(A12,'2026.08.8-9. éjszakai páros'!A:J,4,0),"-")</f>
        <v>-</v>
      </c>
      <c r="W12" s="23" t="str">
        <f>IFERROR(VLOOKUP(A12,'2026.08.8-9. éjszakai páros'!A:H,5,0),"-")</f>
        <v>-</v>
      </c>
      <c r="X12" s="23" t="str">
        <f>IFERROR(VLOOKUP(A12,'2026.08.8-9. éjszakai páros'!A:H,6,0),"-")</f>
        <v>-</v>
      </c>
      <c r="Y12" s="33">
        <f>IFERROR(VLOOKUP(A12,'2026.08.8-9. éjszakai páros'!A:H,8,0),25)</f>
        <v>25</v>
      </c>
      <c r="Z12" s="23" t="str">
        <f>IFERROR(VLOOKUP(A12,'2026.09.20. évzáró egyéni'!A:H,2,0),"nem vett részt")</f>
        <v>nem vett részt</v>
      </c>
      <c r="AA12" s="23" t="str">
        <f>IFERROR(VLOOKUP(A12,'2026.09.20. évzáró egyéni'!A:I,3,0),"-")</f>
        <v>-</v>
      </c>
      <c r="AB12" s="23" t="str">
        <f>IFERROR(VLOOKUP(A12,'2026.09.20. évzáró egyéni'!A:H,4,0),"-")</f>
        <v>-</v>
      </c>
      <c r="AC12" s="23" t="str">
        <f>IFERROR(VLOOKUP(A12,'2026.09.20. évzáró egyéni'!A:H,5,0),"-")</f>
        <v>-</v>
      </c>
      <c r="AD12" s="23" t="str">
        <f>IFERROR(VLOOKUP(A12,'2026.09.20. évzáró egyéni'!A:H,6,0),"-")</f>
        <v>-</v>
      </c>
      <c r="AE12" s="33">
        <f>IFERROR(VLOOKUP(A12,'2026.09.20. évzáró egyéni'!A:H,7,0),25)</f>
        <v>25</v>
      </c>
      <c r="AF12" s="3">
        <f>SUM(B12,H12,N12,T12,Z12)</f>
        <v>102.30999999999999</v>
      </c>
      <c r="AG12" s="20">
        <f>SUM(C12,I12,O12,U12,AA12)</f>
        <v>52</v>
      </c>
      <c r="AH12" s="20">
        <f>VLOOKUP(A12,'helyezési sorrend'!A:J,10,0)</f>
        <v>39</v>
      </c>
      <c r="AI12" s="9" t="str">
        <f>_xlfn.TEXTJOIN(" ",0,COUNT(B12,H12,N12,T12,Z12),"verseny")</f>
        <v>2 verseny</v>
      </c>
      <c r="AK12">
        <v>11</v>
      </c>
      <c r="AL12" s="29" t="s">
        <v>95</v>
      </c>
      <c r="AM12" s="39">
        <f>IFERROR(VLOOKUP(AL12,A:AI,34,0),"-")</f>
        <v>37</v>
      </c>
      <c r="AN12" s="30">
        <f>IFERROR(VLOOKUP(AL12,A:AI,32,0),"-")</f>
        <v>74.58</v>
      </c>
      <c r="AO12" s="31">
        <f>IFERROR(VLOOKUP(AL12,A:AI,33,0),"-")</f>
        <v>47</v>
      </c>
      <c r="AP12" s="1" t="str">
        <f>IFERROR(VLOOKUP(AL12,A:AI,35,0),"-")</f>
        <v>2 verseny</v>
      </c>
    </row>
    <row r="13" spans="1:42" x14ac:dyDescent="0.25">
      <c r="A13" s="25" t="s">
        <v>95</v>
      </c>
      <c r="B13" s="18">
        <f>IFERROR(VLOOKUP(A13,'2026.03.29 évnyitó egyéni'!A:G,3,0),"nem vett részt")</f>
        <v>21.830000000000002</v>
      </c>
      <c r="C13" s="20">
        <f>IFERROR(VLOOKUP(A13,'2026.03.29 évnyitó egyéni'!A:G,4,0),"-")</f>
        <v>23</v>
      </c>
      <c r="D13" s="20">
        <f>IFERROR(VLOOKUP(A13,'2026.03.29 évnyitó egyéni'!A:G,2,0),"-")</f>
        <v>20</v>
      </c>
      <c r="E13" s="20" t="str">
        <f>IFERROR(VLOOKUP(A13,'2026.03.29 évnyitó egyéni'!A:H,8,0),"-")</f>
        <v>B</v>
      </c>
      <c r="F13" s="18" t="str">
        <f>IFERROR(VLOOKUP(A13,'2026.03.29 évnyitó egyéni'!A:G,5,0),"-")</f>
        <v>egyéni</v>
      </c>
      <c r="G13" s="15">
        <f>IFERROR(VLOOKUP(A13,'2026.03.29 évnyitó egyéni'!A:G,7,0),25)</f>
        <v>6</v>
      </c>
      <c r="H13" s="18">
        <f>IFERROR(VLOOKUP(A13,'2026.05.9-10 20 órás páros'!A:C,3,0),"nem vett részt")</f>
        <v>52.75</v>
      </c>
      <c r="I13" s="20">
        <f>IFERROR(VLOOKUP(A13,'2026.05.9-10 20 órás páros'!A:F,4,0),"-")</f>
        <v>24</v>
      </c>
      <c r="J13" s="20">
        <f>IFERROR(VLOOKUP(A13,'2026.05.9-10 20 órás páros'!A:G,2,0),"-")</f>
        <v>60</v>
      </c>
      <c r="K13" s="20" t="str">
        <f>IFERROR(VLOOKUP(A13,'2026.05.9-10 20 órás páros'!A:H,8,0),"-")</f>
        <v>A</v>
      </c>
      <c r="L13" s="20" t="str">
        <f>IFERROR(VLOOKUP(A13,'2026.05.9-10 20 órás páros'!A:I,5,0),"-")</f>
        <v>páros</v>
      </c>
      <c r="M13" s="20">
        <f>IFERROR(VLOOKUP(A13,'2026.05.9-10 20 órás páros'!A:I,6,0),25)</f>
        <v>6</v>
      </c>
      <c r="N13" s="14" t="str">
        <f>IFERROR(VLOOKUP(A13,'2026.06.07 nyári egyéni'!A:D,3,0),"nem vett részt")</f>
        <v>nem vett részt</v>
      </c>
      <c r="O13" s="33" t="str">
        <f>IFERROR(VLOOKUP(A13,'2026.06.07 nyári egyéni'!A:AB,4,0),"-")</f>
        <v>-</v>
      </c>
      <c r="P13" s="33" t="str">
        <f>IFERROR(VLOOKUP(A13,'2026.06.07 nyári egyéni'!A:AC,2,0),"-")</f>
        <v>-</v>
      </c>
      <c r="Q13" s="33" t="str">
        <f>IFERROR(VLOOKUP(A13,'2026.06.07 nyári egyéni'!A:AD,8,0),"-")</f>
        <v>-</v>
      </c>
      <c r="R13" s="33" t="str">
        <f>IFERROR(VLOOKUP(A13,'2026.06.07 nyári egyéni'!A:G,5,0),"-")</f>
        <v>-</v>
      </c>
      <c r="S13" s="20">
        <f>IFERROR(VLOOKUP(A13,'2026.06.07 nyári egyéni'!A:G,6,0),25)</f>
        <v>25</v>
      </c>
      <c r="T13" s="23" t="str">
        <f>IFERROR(VLOOKUP(A13,'2026.08.8-9. éjszakai páros'!A:H,2,0),"nem vett részt")</f>
        <v>nem vett részt</v>
      </c>
      <c r="U13" s="23" t="str">
        <f>IFERROR(VLOOKUP(A13,'2026.08.8-9. éjszakai páros'!A:I,3,0),"-")</f>
        <v>-</v>
      </c>
      <c r="V13" s="23" t="str">
        <f>IFERROR(VLOOKUP(A13,'2026.08.8-9. éjszakai páros'!A:J,4,0),"-")</f>
        <v>-</v>
      </c>
      <c r="W13" s="23" t="str">
        <f>IFERROR(VLOOKUP(A13,'2026.08.8-9. éjszakai páros'!A:H,5,0),"-")</f>
        <v>-</v>
      </c>
      <c r="X13" s="23" t="str">
        <f>IFERROR(VLOOKUP(A13,'2026.08.8-9. éjszakai páros'!A:H,6,0),"-")</f>
        <v>-</v>
      </c>
      <c r="Y13" s="33">
        <f>IFERROR(VLOOKUP(A13,'2026.08.8-9. éjszakai páros'!A:H,8,0),25)</f>
        <v>25</v>
      </c>
      <c r="Z13" s="23" t="str">
        <f>IFERROR(VLOOKUP(A13,'2026.09.20. évzáró egyéni'!A:H,2,0),"nem vett részt")</f>
        <v>nem vett részt</v>
      </c>
      <c r="AA13" s="23" t="str">
        <f>IFERROR(VLOOKUP(A13,'2026.09.20. évzáró egyéni'!A:I,3,0),"-")</f>
        <v>-</v>
      </c>
      <c r="AB13" s="23" t="str">
        <f>IFERROR(VLOOKUP(A13,'2026.09.20. évzáró egyéni'!A:H,4,0),"-")</f>
        <v>-</v>
      </c>
      <c r="AC13" s="23" t="str">
        <f>IFERROR(VLOOKUP(A13,'2026.09.20. évzáró egyéni'!A:H,5,0),"-")</f>
        <v>-</v>
      </c>
      <c r="AD13" s="23" t="str">
        <f>IFERROR(VLOOKUP(A13,'2026.09.20. évzáró egyéni'!A:H,6,0),"-")</f>
        <v>-</v>
      </c>
      <c r="AE13" s="33">
        <f>IFERROR(VLOOKUP(A13,'2026.09.20. évzáró egyéni'!A:H,7,0),25)</f>
        <v>25</v>
      </c>
      <c r="AF13" s="3">
        <f>SUM(B13,H13,N13,T13,Z13)</f>
        <v>74.58</v>
      </c>
      <c r="AG13" s="20">
        <f>SUM(C13,I13,O13,U13,AA13)</f>
        <v>47</v>
      </c>
      <c r="AH13" s="20">
        <f>VLOOKUP(A13,'helyezési sorrend'!A:J,10,0)</f>
        <v>37</v>
      </c>
      <c r="AI13" s="9" t="str">
        <f>_xlfn.TEXTJOIN(" ",0,COUNT(B13,H13,N13,T13,Z13),"verseny")</f>
        <v>2 verseny</v>
      </c>
      <c r="AK13">
        <v>12</v>
      </c>
      <c r="AL13" s="29" t="s">
        <v>99</v>
      </c>
      <c r="AM13" s="39">
        <f>IFERROR(VLOOKUP(AL13,A:AI,34,0),"-")</f>
        <v>39</v>
      </c>
      <c r="AN13" s="30">
        <f>IFERROR(VLOOKUP(AL13,A:AI,32,0),"-")</f>
        <v>102.30999999999999</v>
      </c>
      <c r="AO13" s="31">
        <f>IFERROR(VLOOKUP(AL13,A:AI,33,0),"-")</f>
        <v>52</v>
      </c>
      <c r="AP13" s="1" t="str">
        <f>IFERROR(VLOOKUP(AL13,A:AI,35,0),"-")</f>
        <v>2 verseny</v>
      </c>
    </row>
    <row r="14" spans="1:42" x14ac:dyDescent="0.25">
      <c r="A14" s="25" t="s">
        <v>24</v>
      </c>
      <c r="B14" s="18">
        <f>IFERROR(VLOOKUP(A14,'2026.03.29 évnyitó egyéni'!A:G,3,0),"nem vett részt")</f>
        <v>0.28000000000000003</v>
      </c>
      <c r="C14" s="20">
        <f>IFERROR(VLOOKUP(A14,'2026.03.29 évnyitó egyéni'!A:G,4,0),"-")</f>
        <v>2</v>
      </c>
      <c r="D14" s="20">
        <f>IFERROR(VLOOKUP(A14,'2026.03.29 évnyitó egyéni'!A:G,2,0),"-")</f>
        <v>6</v>
      </c>
      <c r="E14" s="20" t="str">
        <f>IFERROR(VLOOKUP(A14,'2026.03.29 évnyitó egyéni'!A:H,8,0),"-")</f>
        <v>A</v>
      </c>
      <c r="F14" s="18" t="str">
        <f>IFERROR(VLOOKUP(A14,'2026.03.29 évnyitó egyéni'!A:G,5,0),"-")</f>
        <v>egyéni</v>
      </c>
      <c r="G14" s="15">
        <f>IFERROR(VLOOKUP(A14,'2026.03.29 évnyitó egyéni'!A:G,7,0),25)</f>
        <v>15</v>
      </c>
      <c r="H14" s="18" t="str">
        <f>IFERROR(VLOOKUP(A14,'2026.05.9-10 20 órás páros'!A:C,3,0),"nem vett részt")</f>
        <v>nem vett részt</v>
      </c>
      <c r="I14" s="20" t="str">
        <f>IFERROR(VLOOKUP(A14,'2026.05.9-10 20 órás páros'!A:F,4,0),"-")</f>
        <v>-</v>
      </c>
      <c r="J14" s="20" t="str">
        <f>IFERROR(VLOOKUP(A14,'2026.05.9-10 20 órás páros'!A:G,2,0),"-")</f>
        <v>-</v>
      </c>
      <c r="K14" s="20" t="str">
        <f>IFERROR(VLOOKUP(A14,'2026.05.9-10 20 órás páros'!A:H,8,0),"-")</f>
        <v>-</v>
      </c>
      <c r="L14" s="20" t="str">
        <f>IFERROR(VLOOKUP(A14,'2026.05.9-10 20 órás páros'!A:I,5,0),"-")</f>
        <v>-</v>
      </c>
      <c r="M14" s="20">
        <f>IFERROR(VLOOKUP(A14,'2026.05.9-10 20 órás páros'!A:I,6,0),25)</f>
        <v>25</v>
      </c>
      <c r="N14" s="14" t="str">
        <f>IFERROR(VLOOKUP(A14,'2026.06.07 nyári egyéni'!A:D,3,0),"nem vett részt")</f>
        <v>nem vett részt</v>
      </c>
      <c r="O14" s="33" t="str">
        <f>IFERROR(VLOOKUP(A14,'2026.06.07 nyári egyéni'!A:AB,4,0),"-")</f>
        <v>-</v>
      </c>
      <c r="P14" s="33" t="str">
        <f>IFERROR(VLOOKUP(A14,'2026.06.07 nyári egyéni'!A:AC,2,0),"-")</f>
        <v>-</v>
      </c>
      <c r="Q14" s="33" t="str">
        <f>IFERROR(VLOOKUP(A14,'2026.06.07 nyári egyéni'!A:AD,8,0),"-")</f>
        <v>-</v>
      </c>
      <c r="R14" s="33" t="str">
        <f>IFERROR(VLOOKUP(A14,'2026.06.07 nyári egyéni'!A:G,5,0),"-")</f>
        <v>-</v>
      </c>
      <c r="S14" s="20">
        <f>IFERROR(VLOOKUP(A14,'2026.06.07 nyári egyéni'!A:G,6,0),25)</f>
        <v>25</v>
      </c>
      <c r="T14" s="23" t="str">
        <f>IFERROR(VLOOKUP(A14,'2026.08.8-9. éjszakai páros'!A:H,2,0),"nem vett részt")</f>
        <v>nem vett részt</v>
      </c>
      <c r="U14" s="23" t="str">
        <f>IFERROR(VLOOKUP(A14,'2026.08.8-9. éjszakai páros'!A:I,3,0),"-")</f>
        <v>-</v>
      </c>
      <c r="V14" s="23" t="str">
        <f>IFERROR(VLOOKUP(A14,'2026.08.8-9. éjszakai páros'!A:J,4,0),"-")</f>
        <v>-</v>
      </c>
      <c r="W14" s="23" t="str">
        <f>IFERROR(VLOOKUP(A14,'2026.08.8-9. éjszakai páros'!A:H,5,0),"-")</f>
        <v>-</v>
      </c>
      <c r="X14" s="23" t="str">
        <f>IFERROR(VLOOKUP(A14,'2026.08.8-9. éjszakai páros'!A:H,6,0),"-")</f>
        <v>-</v>
      </c>
      <c r="Y14" s="33">
        <f>IFERROR(VLOOKUP(A14,'2026.08.8-9. éjszakai páros'!A:H,8,0),25)</f>
        <v>25</v>
      </c>
      <c r="Z14" s="23" t="str">
        <f>IFERROR(VLOOKUP(A14,'2026.09.20. évzáró egyéni'!A:H,2,0),"nem vett részt")</f>
        <v>nem vett részt</v>
      </c>
      <c r="AA14" s="23" t="str">
        <f>IFERROR(VLOOKUP(A14,'2026.09.20. évzáró egyéni'!A:I,3,0),"-")</f>
        <v>-</v>
      </c>
      <c r="AB14" s="23" t="str">
        <f>IFERROR(VLOOKUP(A14,'2026.09.20. évzáró egyéni'!A:H,4,0),"-")</f>
        <v>-</v>
      </c>
      <c r="AC14" s="23" t="str">
        <f>IFERROR(VLOOKUP(A14,'2026.09.20. évzáró egyéni'!A:H,5,0),"-")</f>
        <v>-</v>
      </c>
      <c r="AD14" s="23" t="str">
        <f>IFERROR(VLOOKUP(A14,'2026.09.20. évzáró egyéni'!A:H,6,0),"-")</f>
        <v>-</v>
      </c>
      <c r="AE14" s="33">
        <f>IFERROR(VLOOKUP(A14,'2026.09.20. évzáró egyéni'!A:H,7,0),25)</f>
        <v>25</v>
      </c>
      <c r="AF14" s="3">
        <f>SUM(B14,H14,N14,T14,Z14)</f>
        <v>0.28000000000000003</v>
      </c>
      <c r="AG14" s="20">
        <f>SUM(C14,I14,O14,U14,AA14)</f>
        <v>2</v>
      </c>
      <c r="AH14" s="20">
        <f>VLOOKUP(A14,'helyezési sorrend'!A:J,10,0)</f>
        <v>65</v>
      </c>
      <c r="AI14" s="9" t="str">
        <f>_xlfn.TEXTJOIN(" ",0,COUNT(B14,H14,N14,T14,Z14),"verseny")</f>
        <v>1 verseny</v>
      </c>
      <c r="AK14">
        <v>13</v>
      </c>
      <c r="AL14" s="21" t="s">
        <v>8</v>
      </c>
      <c r="AM14" s="39">
        <f>IFERROR(VLOOKUP(AL14,A:AI,34,0),"-")</f>
        <v>41</v>
      </c>
      <c r="AN14" s="30">
        <f>IFERROR(VLOOKUP(AL14,A:AI,32,0),"-")</f>
        <v>44.9</v>
      </c>
      <c r="AO14" s="31">
        <f>IFERROR(VLOOKUP(AL14,A:AI,33,0),"-")</f>
        <v>20</v>
      </c>
      <c r="AP14" s="1" t="str">
        <f>IFERROR(VLOOKUP(AL14,A:AI,35,0),"-")</f>
        <v>2 verseny</v>
      </c>
    </row>
    <row r="15" spans="1:42" x14ac:dyDescent="0.25">
      <c r="A15" s="25" t="s">
        <v>77</v>
      </c>
      <c r="B15" s="18" t="str">
        <f>IFERROR(VLOOKUP(A15,'2026.03.29 évnyitó egyéni'!A:G,3,0),"nem vett részt")</f>
        <v>nem vett részt</v>
      </c>
      <c r="C15" s="20" t="str">
        <f>IFERROR(VLOOKUP(A15,'2026.03.29 évnyitó egyéni'!A:G,4,0),"-")</f>
        <v>-</v>
      </c>
      <c r="D15" s="20" t="str">
        <f>IFERROR(VLOOKUP(A15,'2026.03.29 évnyitó egyéni'!A:G,2,0),"-")</f>
        <v>-</v>
      </c>
      <c r="E15" s="20" t="str">
        <f>IFERROR(VLOOKUP(A15,'2026.03.29 évnyitó egyéni'!A:H,8,0),"-")</f>
        <v>-</v>
      </c>
      <c r="F15" s="18" t="str">
        <f>IFERROR(VLOOKUP(A15,'2026.03.29 évnyitó egyéni'!A:G,5,0),"-")</f>
        <v>-</v>
      </c>
      <c r="G15" s="15">
        <f>IFERROR(VLOOKUP(A15,'2026.03.29 évnyitó egyéni'!A:G,7,0),25)</f>
        <v>25</v>
      </c>
      <c r="H15" s="18">
        <f>IFERROR(VLOOKUP(A15,'2026.05.9-10 20 órás páros'!A:C,3,0),"nem vett részt")</f>
        <v>11.46</v>
      </c>
      <c r="I15" s="20">
        <f>IFERROR(VLOOKUP(A15,'2026.05.9-10 20 órás páros'!A:F,4,0),"-")</f>
        <v>10</v>
      </c>
      <c r="J15" s="20">
        <f>IFERROR(VLOOKUP(A15,'2026.05.9-10 20 órás páros'!A:G,2,0),"-")</f>
        <v>26</v>
      </c>
      <c r="K15" s="20" t="str">
        <f>IFERROR(VLOOKUP(A15,'2026.05.9-10 20 órás páros'!A:H,8,0),"-")</f>
        <v>B</v>
      </c>
      <c r="L15" s="20" t="str">
        <f>IFERROR(VLOOKUP(A15,'2026.05.9-10 20 órás páros'!A:I,5,0),"-")</f>
        <v>páros</v>
      </c>
      <c r="M15" s="20">
        <f>IFERROR(VLOOKUP(A15,'2026.05.9-10 20 órás páros'!A:I,6,0),25)</f>
        <v>11</v>
      </c>
      <c r="N15" s="14" t="str">
        <f>IFERROR(VLOOKUP(A15,'2026.06.07 nyári egyéni'!A:D,3,0),"nem vett részt")</f>
        <v>nem vett részt</v>
      </c>
      <c r="O15" s="33" t="str">
        <f>IFERROR(VLOOKUP(A15,'2026.06.07 nyári egyéni'!A:AB,4,0),"-")</f>
        <v>-</v>
      </c>
      <c r="P15" s="33" t="str">
        <f>IFERROR(VLOOKUP(A15,'2026.06.07 nyári egyéni'!A:AC,2,0),"-")</f>
        <v>-</v>
      </c>
      <c r="Q15" s="33" t="str">
        <f>IFERROR(VLOOKUP(A15,'2026.06.07 nyári egyéni'!A:AD,8,0),"-")</f>
        <v>-</v>
      </c>
      <c r="R15" s="33" t="str">
        <f>IFERROR(VLOOKUP(A15,'2026.06.07 nyári egyéni'!A:G,5,0),"-")</f>
        <v>-</v>
      </c>
      <c r="S15" s="20">
        <f>IFERROR(VLOOKUP(A15,'2026.06.07 nyári egyéni'!A:G,6,0),25)</f>
        <v>25</v>
      </c>
      <c r="T15" s="23" t="str">
        <f>IFERROR(VLOOKUP(A15,'2026.08.8-9. éjszakai páros'!A:H,2,0),"nem vett részt")</f>
        <v>nem vett részt</v>
      </c>
      <c r="U15" s="23" t="str">
        <f>IFERROR(VLOOKUP(A15,'2026.08.8-9. éjszakai páros'!A:I,3,0),"-")</f>
        <v>-</v>
      </c>
      <c r="V15" s="23" t="str">
        <f>IFERROR(VLOOKUP(A15,'2026.08.8-9. éjszakai páros'!A:J,4,0),"-")</f>
        <v>-</v>
      </c>
      <c r="W15" s="23" t="str">
        <f>IFERROR(VLOOKUP(A15,'2026.08.8-9. éjszakai páros'!A:H,5,0),"-")</f>
        <v>-</v>
      </c>
      <c r="X15" s="23" t="str">
        <f>IFERROR(VLOOKUP(A15,'2026.08.8-9. éjszakai páros'!A:H,6,0),"-")</f>
        <v>-</v>
      </c>
      <c r="Y15" s="33">
        <f>IFERROR(VLOOKUP(A15,'2026.08.8-9. éjszakai páros'!A:H,8,0),25)</f>
        <v>25</v>
      </c>
      <c r="Z15" s="23" t="str">
        <f>IFERROR(VLOOKUP(A15,'2026.09.20. évzáró egyéni'!A:H,2,0),"nem vett részt")</f>
        <v>nem vett részt</v>
      </c>
      <c r="AA15" s="23" t="str">
        <f>IFERROR(VLOOKUP(A15,'2026.09.20. évzáró egyéni'!A:I,3,0),"-")</f>
        <v>-</v>
      </c>
      <c r="AB15" s="23" t="str">
        <f>IFERROR(VLOOKUP(A15,'2026.09.20. évzáró egyéni'!A:H,4,0),"-")</f>
        <v>-</v>
      </c>
      <c r="AC15" s="23" t="str">
        <f>IFERROR(VLOOKUP(A15,'2026.09.20. évzáró egyéni'!A:H,5,0),"-")</f>
        <v>-</v>
      </c>
      <c r="AD15" s="23" t="str">
        <f>IFERROR(VLOOKUP(A15,'2026.09.20. évzáró egyéni'!A:H,6,0),"-")</f>
        <v>-</v>
      </c>
      <c r="AE15" s="33">
        <f>IFERROR(VLOOKUP(A15,'2026.09.20. évzáró egyéni'!A:H,7,0),25)</f>
        <v>25</v>
      </c>
      <c r="AF15" s="3">
        <f>SUM(B15,H15,N15,T15,Z15)</f>
        <v>11.46</v>
      </c>
      <c r="AG15" s="20">
        <f>SUM(C15,I15,O15,U15,AA15)</f>
        <v>10</v>
      </c>
      <c r="AH15" s="20">
        <f>VLOOKUP(A15,'helyezési sorrend'!A:J,10,0)</f>
        <v>61</v>
      </c>
      <c r="AI15" s="9" t="str">
        <f>_xlfn.TEXTJOIN(" ",0,COUNT(B15,H15,N15,T15,Z15),"verseny")</f>
        <v>1 verseny</v>
      </c>
      <c r="AK15">
        <v>14</v>
      </c>
      <c r="AL15" s="29" t="s">
        <v>101</v>
      </c>
      <c r="AM15" s="39">
        <f>IFERROR(VLOOKUP(AL15,A:AI,34,0),"-")</f>
        <v>41</v>
      </c>
      <c r="AN15" s="30">
        <f>IFERROR(VLOOKUP(AL15,A:AI,32,0),"-")</f>
        <v>95.22</v>
      </c>
      <c r="AO15" s="31">
        <f>IFERROR(VLOOKUP(AL15,A:AI,33,0),"-")</f>
        <v>36</v>
      </c>
      <c r="AP15" s="1" t="str">
        <f>IFERROR(VLOOKUP(AL15,A:AI,35,0),"-")</f>
        <v>2 verseny</v>
      </c>
    </row>
    <row r="16" spans="1:42" x14ac:dyDescent="0.25">
      <c r="A16" s="25" t="s">
        <v>83</v>
      </c>
      <c r="B16" s="18" t="str">
        <f>IFERROR(VLOOKUP(A16,'2026.03.29 évnyitó egyéni'!A:G,3,0),"nem vett részt")</f>
        <v>nem vett részt</v>
      </c>
      <c r="C16" s="20" t="str">
        <f>IFERROR(VLOOKUP(A16,'2026.03.29 évnyitó egyéni'!A:G,4,0),"-")</f>
        <v>-</v>
      </c>
      <c r="D16" s="20" t="str">
        <f>IFERROR(VLOOKUP(A16,'2026.03.29 évnyitó egyéni'!A:G,2,0),"-")</f>
        <v>-</v>
      </c>
      <c r="E16" s="20" t="str">
        <f>IFERROR(VLOOKUP(A16,'2026.03.29 évnyitó egyéni'!A:H,8,0),"-")</f>
        <v>-</v>
      </c>
      <c r="F16" s="18" t="str">
        <f>IFERROR(VLOOKUP(A16,'2026.03.29 évnyitó egyéni'!A:G,5,0),"-")</f>
        <v>-</v>
      </c>
      <c r="G16" s="15">
        <f>IFERROR(VLOOKUP(A16,'2026.03.29 évnyitó egyéni'!A:G,7,0),25)</f>
        <v>25</v>
      </c>
      <c r="H16" s="18">
        <f>IFERROR(VLOOKUP(A16,'2026.05.9-10 20 órás páros'!A:C,3,0),"nem vett részt")</f>
        <v>3.51</v>
      </c>
      <c r="I16" s="20">
        <f>IFERROR(VLOOKUP(A16,'2026.05.9-10 20 órás páros'!A:F,4,0),"-")</f>
        <v>1</v>
      </c>
      <c r="J16" s="20">
        <f>IFERROR(VLOOKUP(A16,'2026.05.9-10 20 órás páros'!A:G,2,0),"-")</f>
        <v>10</v>
      </c>
      <c r="K16" s="20" t="str">
        <f>IFERROR(VLOOKUP(A16,'2026.05.9-10 20 órás páros'!A:H,8,0),"-")</f>
        <v>B</v>
      </c>
      <c r="L16" s="20" t="str">
        <f>IFERROR(VLOOKUP(A16,'2026.05.9-10 20 órás páros'!A:I,5,0),"-")</f>
        <v>páros</v>
      </c>
      <c r="M16" s="20">
        <f>IFERROR(VLOOKUP(A16,'2026.05.9-10 20 órás páros'!A:I,6,0),25)</f>
        <v>13</v>
      </c>
      <c r="N16" s="14" t="str">
        <f>IFERROR(VLOOKUP(A16,'2026.06.07 nyári egyéni'!A:D,3,0),"nem vett részt")</f>
        <v>nem vett részt</v>
      </c>
      <c r="O16" s="33" t="str">
        <f>IFERROR(VLOOKUP(A16,'2026.06.07 nyári egyéni'!A:AB,4,0),"-")</f>
        <v>-</v>
      </c>
      <c r="P16" s="33" t="str">
        <f>IFERROR(VLOOKUP(A16,'2026.06.07 nyári egyéni'!A:AC,2,0),"-")</f>
        <v>-</v>
      </c>
      <c r="Q16" s="33" t="str">
        <f>IFERROR(VLOOKUP(A16,'2026.06.07 nyári egyéni'!A:AD,8,0),"-")</f>
        <v>-</v>
      </c>
      <c r="R16" s="33" t="str">
        <f>IFERROR(VLOOKUP(A16,'2026.06.07 nyári egyéni'!A:G,5,0),"-")</f>
        <v>-</v>
      </c>
      <c r="S16" s="20">
        <f>IFERROR(VLOOKUP(A16,'2026.06.07 nyári egyéni'!A:G,6,0),25)</f>
        <v>25</v>
      </c>
      <c r="T16" s="23" t="str">
        <f>IFERROR(VLOOKUP(A16,'2026.08.8-9. éjszakai páros'!A:H,2,0),"nem vett részt")</f>
        <v>nem vett részt</v>
      </c>
      <c r="U16" s="23" t="str">
        <f>IFERROR(VLOOKUP(A16,'2026.08.8-9. éjszakai páros'!A:I,3,0),"-")</f>
        <v>-</v>
      </c>
      <c r="V16" s="23" t="str">
        <f>IFERROR(VLOOKUP(A16,'2026.08.8-9. éjszakai páros'!A:J,4,0),"-")</f>
        <v>-</v>
      </c>
      <c r="W16" s="23" t="str">
        <f>IFERROR(VLOOKUP(A16,'2026.08.8-9. éjszakai páros'!A:H,5,0),"-")</f>
        <v>-</v>
      </c>
      <c r="X16" s="23" t="str">
        <f>IFERROR(VLOOKUP(A16,'2026.08.8-9. éjszakai páros'!A:H,6,0),"-")</f>
        <v>-</v>
      </c>
      <c r="Y16" s="33">
        <f>IFERROR(VLOOKUP(A16,'2026.08.8-9. éjszakai páros'!A:H,8,0),25)</f>
        <v>25</v>
      </c>
      <c r="Z16" s="23" t="str">
        <f>IFERROR(VLOOKUP(A16,'2026.09.20. évzáró egyéni'!A:H,2,0),"nem vett részt")</f>
        <v>nem vett részt</v>
      </c>
      <c r="AA16" s="23" t="str">
        <f>IFERROR(VLOOKUP(A16,'2026.09.20. évzáró egyéni'!A:I,3,0),"-")</f>
        <v>-</v>
      </c>
      <c r="AB16" s="23" t="str">
        <f>IFERROR(VLOOKUP(A16,'2026.09.20. évzáró egyéni'!A:H,4,0),"-")</f>
        <v>-</v>
      </c>
      <c r="AC16" s="23" t="str">
        <f>IFERROR(VLOOKUP(A16,'2026.09.20. évzáró egyéni'!A:H,5,0),"-")</f>
        <v>-</v>
      </c>
      <c r="AD16" s="23" t="str">
        <f>IFERROR(VLOOKUP(A16,'2026.09.20. évzáró egyéni'!A:H,6,0),"-")</f>
        <v>-</v>
      </c>
      <c r="AE16" s="33">
        <f>IFERROR(VLOOKUP(A16,'2026.09.20. évzáró egyéni'!A:H,7,0),25)</f>
        <v>25</v>
      </c>
      <c r="AF16" s="3">
        <f>SUM(B16,H16,N16,T16,Z16)</f>
        <v>3.51</v>
      </c>
      <c r="AG16" s="20">
        <f>SUM(C16,I16,O16,U16,AA16)</f>
        <v>1</v>
      </c>
      <c r="AH16" s="20">
        <f>VLOOKUP(A16,'helyezési sorrend'!A:J,10,0)</f>
        <v>63</v>
      </c>
      <c r="AI16" s="9" t="str">
        <f>_xlfn.TEXTJOIN(" ",0,COUNT(B16,H16,N16,T16,Z16),"verseny")</f>
        <v>1 verseny</v>
      </c>
      <c r="AK16">
        <v>15</v>
      </c>
      <c r="AL16" s="21" t="s">
        <v>15</v>
      </c>
      <c r="AM16" s="39">
        <f>IFERROR(VLOOKUP(AL16,A:AI,34,0),"-")</f>
        <v>43</v>
      </c>
      <c r="AN16" s="30">
        <f>IFERROR(VLOOKUP(AL16,A:AI,32,0),"-")</f>
        <v>49.519999999999996</v>
      </c>
      <c r="AO16" s="31">
        <f>IFERROR(VLOOKUP(AL16,A:AI,33,0),"-")</f>
        <v>33</v>
      </c>
      <c r="AP16" s="1" t="str">
        <f>IFERROR(VLOOKUP(AL16,A:AI,35,0),"-")</f>
        <v>2 verseny</v>
      </c>
    </row>
    <row r="17" spans="1:42" x14ac:dyDescent="0.25">
      <c r="A17" s="25" t="s">
        <v>96</v>
      </c>
      <c r="B17" s="18" t="str">
        <f>IFERROR(VLOOKUP(A17,'2026.03.29 évnyitó egyéni'!A:G,3,0),"nem vett részt")</f>
        <v>nem vett részt</v>
      </c>
      <c r="C17" s="20" t="str">
        <f>IFERROR(VLOOKUP(A17,'2026.03.29 évnyitó egyéni'!A:G,4,0),"-")</f>
        <v>-</v>
      </c>
      <c r="D17" s="20" t="str">
        <f>IFERROR(VLOOKUP(A17,'2026.03.29 évnyitó egyéni'!A:G,2,0),"-")</f>
        <v>-</v>
      </c>
      <c r="E17" s="20" t="str">
        <f>IFERROR(VLOOKUP(A17,'2026.03.29 évnyitó egyéni'!A:H,8,0),"-")</f>
        <v>-</v>
      </c>
      <c r="F17" s="18" t="str">
        <f>IFERROR(VLOOKUP(A17,'2026.03.29 évnyitó egyéni'!A:G,5,0),"-")</f>
        <v>-</v>
      </c>
      <c r="G17" s="15">
        <f>IFERROR(VLOOKUP(A17,'2026.03.29 évnyitó egyéni'!A:G,7,0),25)</f>
        <v>25</v>
      </c>
      <c r="H17" s="18">
        <f>IFERROR(VLOOKUP(A17,'2026.05.9-10 20 órás páros'!A:C,3,0),"nem vett részt")</f>
        <v>35.64</v>
      </c>
      <c r="I17" s="20">
        <f>IFERROR(VLOOKUP(A17,'2026.05.9-10 20 órás páros'!A:F,4,0),"-")</f>
        <v>15</v>
      </c>
      <c r="J17" s="20" t="str">
        <f>IFERROR(VLOOKUP(A17,'2026.05.9-10 20 órás páros'!A:G,2,0),"-")</f>
        <v>60/a</v>
      </c>
      <c r="K17" s="20" t="str">
        <f>IFERROR(VLOOKUP(A17,'2026.05.9-10 20 órás páros'!A:H,8,0),"-")</f>
        <v>A</v>
      </c>
      <c r="L17" s="20" t="str">
        <f>IFERROR(VLOOKUP(A17,'2026.05.9-10 20 órás páros'!A:I,5,0),"-")</f>
        <v>páros</v>
      </c>
      <c r="M17" s="20">
        <f>IFERROR(VLOOKUP(A17,'2026.05.9-10 20 órás páros'!A:I,6,0),25)</f>
        <v>6</v>
      </c>
      <c r="N17" s="14" t="str">
        <f>IFERROR(VLOOKUP(A17,'2026.06.07 nyári egyéni'!A:D,3,0),"nem vett részt")</f>
        <v>nem vett részt</v>
      </c>
      <c r="O17" s="33" t="str">
        <f>IFERROR(VLOOKUP(A17,'2026.06.07 nyári egyéni'!A:AB,4,0),"-")</f>
        <v>-</v>
      </c>
      <c r="P17" s="33" t="str">
        <f>IFERROR(VLOOKUP(A17,'2026.06.07 nyári egyéni'!A:AC,2,0),"-")</f>
        <v>-</v>
      </c>
      <c r="Q17" s="33" t="str">
        <f>IFERROR(VLOOKUP(A17,'2026.06.07 nyári egyéni'!A:AD,8,0),"-")</f>
        <v>-</v>
      </c>
      <c r="R17" s="33" t="str">
        <f>IFERROR(VLOOKUP(A17,'2026.06.07 nyári egyéni'!A:G,5,0),"-")</f>
        <v>-</v>
      </c>
      <c r="S17" s="20">
        <f>IFERROR(VLOOKUP(A17,'2026.06.07 nyári egyéni'!A:G,6,0),25)</f>
        <v>25</v>
      </c>
      <c r="T17" s="23" t="str">
        <f>IFERROR(VLOOKUP(A17,'2026.08.8-9. éjszakai páros'!A:H,2,0),"nem vett részt")</f>
        <v>nem vett részt</v>
      </c>
      <c r="U17" s="23" t="str">
        <f>IFERROR(VLOOKUP(A17,'2026.08.8-9. éjszakai páros'!A:I,3,0),"-")</f>
        <v>-</v>
      </c>
      <c r="V17" s="23" t="str">
        <f>IFERROR(VLOOKUP(A17,'2026.08.8-9. éjszakai páros'!A:J,4,0),"-")</f>
        <v>-</v>
      </c>
      <c r="W17" s="23" t="str">
        <f>IFERROR(VLOOKUP(A17,'2026.08.8-9. éjszakai páros'!A:H,5,0),"-")</f>
        <v>-</v>
      </c>
      <c r="X17" s="23" t="str">
        <f>IFERROR(VLOOKUP(A17,'2026.08.8-9. éjszakai páros'!A:H,6,0),"-")</f>
        <v>-</v>
      </c>
      <c r="Y17" s="33">
        <f>IFERROR(VLOOKUP(A17,'2026.08.8-9. éjszakai páros'!A:H,8,0),25)</f>
        <v>25</v>
      </c>
      <c r="Z17" s="23" t="str">
        <f>IFERROR(VLOOKUP(A17,'2026.09.20. évzáró egyéni'!A:H,2,0),"nem vett részt")</f>
        <v>nem vett részt</v>
      </c>
      <c r="AA17" s="23" t="str">
        <f>IFERROR(VLOOKUP(A17,'2026.09.20. évzáró egyéni'!A:I,3,0),"-")</f>
        <v>-</v>
      </c>
      <c r="AB17" s="23" t="str">
        <f>IFERROR(VLOOKUP(A17,'2026.09.20. évzáró egyéni'!A:H,4,0),"-")</f>
        <v>-</v>
      </c>
      <c r="AC17" s="23" t="str">
        <f>IFERROR(VLOOKUP(A17,'2026.09.20. évzáró egyéni'!A:H,5,0),"-")</f>
        <v>-</v>
      </c>
      <c r="AD17" s="23" t="str">
        <f>IFERROR(VLOOKUP(A17,'2026.09.20. évzáró egyéni'!A:H,6,0),"-")</f>
        <v>-</v>
      </c>
      <c r="AE17" s="33">
        <f>IFERROR(VLOOKUP(A17,'2026.09.20. évzáró egyéni'!A:H,7,0),25)</f>
        <v>25</v>
      </c>
      <c r="AF17" s="3">
        <f>SUM(B17,H17,N17,T17,Z17)</f>
        <v>35.64</v>
      </c>
      <c r="AG17" s="20">
        <f>SUM(C17,I17,O17,U17,AA17)</f>
        <v>15</v>
      </c>
      <c r="AH17" s="20">
        <f>VLOOKUP(A17,'helyezési sorrend'!A:J,10,0)</f>
        <v>56</v>
      </c>
      <c r="AI17" s="9" t="str">
        <f>_xlfn.TEXTJOIN(" ",0,COUNT(B17,H17,N17,T17,Z17),"verseny")</f>
        <v>1 verseny</v>
      </c>
      <c r="AK17">
        <v>16</v>
      </c>
      <c r="AL17" s="21" t="s">
        <v>17</v>
      </c>
      <c r="AM17" s="39">
        <f>IFERROR(VLOOKUP(AL17,A:AI,34,0),"-")</f>
        <v>48</v>
      </c>
      <c r="AN17" s="30">
        <f>IFERROR(VLOOKUP(AL17,A:AI,32,0),"-")</f>
        <v>22.38</v>
      </c>
      <c r="AO17" s="31">
        <f>IFERROR(VLOOKUP(AL17,A:AI,33,0),"-")</f>
        <v>20</v>
      </c>
      <c r="AP17" s="1" t="str">
        <f>IFERROR(VLOOKUP(AL17,A:AI,35,0),"-")</f>
        <v>2 verseny</v>
      </c>
    </row>
    <row r="18" spans="1:42" x14ac:dyDescent="0.25">
      <c r="A18" s="25" t="s">
        <v>105</v>
      </c>
      <c r="B18" s="18" t="str">
        <f>IFERROR(VLOOKUP(A18,'2026.03.29 évnyitó egyéni'!A:G,3,0),"nem vett részt")</f>
        <v>nem vett részt</v>
      </c>
      <c r="C18" s="20" t="str">
        <f>IFERROR(VLOOKUP(A18,'2026.03.29 évnyitó egyéni'!A:G,4,0),"-")</f>
        <v>-</v>
      </c>
      <c r="D18" s="20" t="str">
        <f>IFERROR(VLOOKUP(A18,'2026.03.29 évnyitó egyéni'!A:G,2,0),"-")</f>
        <v>-</v>
      </c>
      <c r="E18" s="20" t="str">
        <f>IFERROR(VLOOKUP(A18,'2026.03.29 évnyitó egyéni'!A:H,8,0),"-")</f>
        <v>-</v>
      </c>
      <c r="F18" s="18" t="str">
        <f>IFERROR(VLOOKUP(A18,'2026.03.29 évnyitó egyéni'!A:G,5,0),"-")</f>
        <v>-</v>
      </c>
      <c r="G18" s="15">
        <f>IFERROR(VLOOKUP(A18,'2026.03.29 évnyitó egyéni'!A:G,7,0),25)</f>
        <v>25</v>
      </c>
      <c r="H18" s="18">
        <f>IFERROR(VLOOKUP(A18,'2026.05.9-10 20 órás páros'!A:C,3,0),"nem vett részt")</f>
        <v>2.4300000000000002</v>
      </c>
      <c r="I18" s="20">
        <f>IFERROR(VLOOKUP(A18,'2026.05.9-10 20 órás páros'!A:F,4,0),"-")</f>
        <v>1</v>
      </c>
      <c r="J18" s="20" t="str">
        <f>IFERROR(VLOOKUP(A18,'2026.05.9-10 20 órás páros'!A:G,2,0),"-")</f>
        <v>57/a</v>
      </c>
      <c r="K18" s="20" t="str">
        <f>IFERROR(VLOOKUP(A18,'2026.05.9-10 20 órás páros'!A:H,8,0),"-")</f>
        <v>A</v>
      </c>
      <c r="L18" s="20" t="str">
        <f>IFERROR(VLOOKUP(A18,'2026.05.9-10 20 órás páros'!A:I,5,0),"-")</f>
        <v>páros</v>
      </c>
      <c r="M18" s="20">
        <f>IFERROR(VLOOKUP(A18,'2026.05.9-10 20 órás páros'!A:I,6,0),25)</f>
        <v>12</v>
      </c>
      <c r="N18" s="14" t="str">
        <f>IFERROR(VLOOKUP(A18,'2026.06.07 nyári egyéni'!A:D,3,0),"nem vett részt")</f>
        <v>nem vett részt</v>
      </c>
      <c r="O18" s="33" t="str">
        <f>IFERROR(VLOOKUP(A18,'2026.06.07 nyári egyéni'!A:AB,4,0),"-")</f>
        <v>-</v>
      </c>
      <c r="P18" s="33" t="str">
        <f>IFERROR(VLOOKUP(A18,'2026.06.07 nyári egyéni'!A:AC,2,0),"-")</f>
        <v>-</v>
      </c>
      <c r="Q18" s="33" t="str">
        <f>IFERROR(VLOOKUP(A18,'2026.06.07 nyári egyéni'!A:AD,8,0),"-")</f>
        <v>-</v>
      </c>
      <c r="R18" s="33" t="str">
        <f>IFERROR(VLOOKUP(A18,'2026.06.07 nyári egyéni'!A:G,5,0),"-")</f>
        <v>-</v>
      </c>
      <c r="S18" s="20">
        <f>IFERROR(VLOOKUP(A18,'2026.06.07 nyári egyéni'!A:G,6,0),25)</f>
        <v>25</v>
      </c>
      <c r="T18" s="23" t="str">
        <f>IFERROR(VLOOKUP(A18,'2026.08.8-9. éjszakai páros'!A:H,2,0),"nem vett részt")</f>
        <v>nem vett részt</v>
      </c>
      <c r="U18" s="23" t="str">
        <f>IFERROR(VLOOKUP(A18,'2026.08.8-9. éjszakai páros'!A:I,3,0),"-")</f>
        <v>-</v>
      </c>
      <c r="V18" s="23" t="str">
        <f>IFERROR(VLOOKUP(A18,'2026.08.8-9. éjszakai páros'!A:J,4,0),"-")</f>
        <v>-</v>
      </c>
      <c r="W18" s="23" t="str">
        <f>IFERROR(VLOOKUP(A18,'2026.08.8-9. éjszakai páros'!A:H,5,0),"-")</f>
        <v>-</v>
      </c>
      <c r="X18" s="23" t="str">
        <f>IFERROR(VLOOKUP(A18,'2026.08.8-9. éjszakai páros'!A:H,6,0),"-")</f>
        <v>-</v>
      </c>
      <c r="Y18" s="33">
        <f>IFERROR(VLOOKUP(A18,'2026.08.8-9. éjszakai páros'!A:H,8,0),25)</f>
        <v>25</v>
      </c>
      <c r="Z18" s="23" t="str">
        <f>IFERROR(VLOOKUP(A18,'2026.09.20. évzáró egyéni'!A:H,2,0),"nem vett részt")</f>
        <v>nem vett részt</v>
      </c>
      <c r="AA18" s="23" t="str">
        <f>IFERROR(VLOOKUP(A18,'2026.09.20. évzáró egyéni'!A:I,3,0),"-")</f>
        <v>-</v>
      </c>
      <c r="AB18" s="23" t="str">
        <f>IFERROR(VLOOKUP(A18,'2026.09.20. évzáró egyéni'!A:H,4,0),"-")</f>
        <v>-</v>
      </c>
      <c r="AC18" s="23" t="str">
        <f>IFERROR(VLOOKUP(A18,'2026.09.20. évzáró egyéni'!A:H,5,0),"-")</f>
        <v>-</v>
      </c>
      <c r="AD18" s="23" t="str">
        <f>IFERROR(VLOOKUP(A18,'2026.09.20. évzáró egyéni'!A:H,6,0),"-")</f>
        <v>-</v>
      </c>
      <c r="AE18" s="33">
        <f>IFERROR(VLOOKUP(A18,'2026.09.20. évzáró egyéni'!A:H,7,0),25)</f>
        <v>25</v>
      </c>
      <c r="AF18" s="3">
        <f>SUM(B18,H18,N18,T18,Z18)</f>
        <v>2.4300000000000002</v>
      </c>
      <c r="AG18" s="20">
        <f>SUM(C18,I18,O18,U18,AA18)</f>
        <v>1</v>
      </c>
      <c r="AH18" s="20">
        <f>VLOOKUP(A18,'helyezési sorrend'!A:J,10,0)</f>
        <v>62</v>
      </c>
      <c r="AI18" s="9" t="str">
        <f>_xlfn.TEXTJOIN(" ",0,COUNT(B18,H18,N18,T18,Z18),"verseny")</f>
        <v>1 verseny</v>
      </c>
      <c r="AK18">
        <v>17</v>
      </c>
      <c r="AL18" s="21" t="s">
        <v>6</v>
      </c>
      <c r="AM18" s="39">
        <f>IFERROR(VLOOKUP(AL18,A:AI,34,0),"-")</f>
        <v>48</v>
      </c>
      <c r="AN18" s="30">
        <f>IFERROR(VLOOKUP(AL18,A:AI,32,0),"-")</f>
        <v>31.41</v>
      </c>
      <c r="AO18" s="31">
        <f>IFERROR(VLOOKUP(AL18,A:AI,33,0),"-")</f>
        <v>13</v>
      </c>
      <c r="AP18" s="1" t="str">
        <f>IFERROR(VLOOKUP(AL18,A:AI,35,0),"-")</f>
        <v>2 verseny</v>
      </c>
    </row>
    <row r="19" spans="1:42" x14ac:dyDescent="0.25">
      <c r="A19" s="25" t="s">
        <v>104</v>
      </c>
      <c r="B19" s="18" t="str">
        <f>IFERROR(VLOOKUP(A19,'2026.03.29 évnyitó egyéni'!A:G,3,0),"nem vett részt")</f>
        <v>nem vett részt</v>
      </c>
      <c r="C19" s="20" t="str">
        <f>IFERROR(VLOOKUP(A19,'2026.03.29 évnyitó egyéni'!A:G,4,0),"-")</f>
        <v>-</v>
      </c>
      <c r="D19" s="20" t="str">
        <f>IFERROR(VLOOKUP(A19,'2026.03.29 évnyitó egyéni'!A:G,2,0),"-")</f>
        <v>-</v>
      </c>
      <c r="E19" s="20" t="str">
        <f>IFERROR(VLOOKUP(A19,'2026.03.29 évnyitó egyéni'!A:H,8,0),"-")</f>
        <v>-</v>
      </c>
      <c r="F19" s="18" t="str">
        <f>IFERROR(VLOOKUP(A19,'2026.03.29 évnyitó egyéni'!A:G,5,0),"-")</f>
        <v>-</v>
      </c>
      <c r="G19" s="15">
        <f>IFERROR(VLOOKUP(A19,'2026.03.29 évnyitó egyéni'!A:G,7,0),25)</f>
        <v>25</v>
      </c>
      <c r="H19" s="18">
        <f>IFERROR(VLOOKUP(A19,'2026.05.9-10 20 órás páros'!A:C,3,0),"nem vett részt")</f>
        <v>2</v>
      </c>
      <c r="I19" s="20">
        <f>IFERROR(VLOOKUP(A19,'2026.05.9-10 20 órás páros'!A:F,4,0),"-")</f>
        <v>1</v>
      </c>
      <c r="J19" s="20">
        <f>IFERROR(VLOOKUP(A19,'2026.05.9-10 20 órás páros'!A:G,2,0),"-")</f>
        <v>57</v>
      </c>
      <c r="K19" s="20" t="str">
        <f>IFERROR(VLOOKUP(A19,'2026.05.9-10 20 órás páros'!A:H,8,0),"-")</f>
        <v>A</v>
      </c>
      <c r="L19" s="20" t="str">
        <f>IFERROR(VLOOKUP(A19,'2026.05.9-10 20 órás páros'!A:I,5,0),"-")</f>
        <v>páros</v>
      </c>
      <c r="M19" s="20">
        <f>IFERROR(VLOOKUP(A19,'2026.05.9-10 20 órás páros'!A:I,6,0),25)</f>
        <v>12</v>
      </c>
      <c r="N19" s="14" t="str">
        <f>IFERROR(VLOOKUP(A19,'2026.06.07 nyári egyéni'!A:D,3,0),"nem vett részt")</f>
        <v>nem vett részt</v>
      </c>
      <c r="O19" s="33" t="str">
        <f>IFERROR(VLOOKUP(A19,'2026.06.07 nyári egyéni'!A:AB,4,0),"-")</f>
        <v>-</v>
      </c>
      <c r="P19" s="33" t="str">
        <f>IFERROR(VLOOKUP(A19,'2026.06.07 nyári egyéni'!A:AC,2,0),"-")</f>
        <v>-</v>
      </c>
      <c r="Q19" s="33" t="str">
        <f>IFERROR(VLOOKUP(A19,'2026.06.07 nyári egyéni'!A:AD,8,0),"-")</f>
        <v>-</v>
      </c>
      <c r="R19" s="33" t="str">
        <f>IFERROR(VLOOKUP(A19,'2026.06.07 nyári egyéni'!A:G,5,0),"-")</f>
        <v>-</v>
      </c>
      <c r="S19" s="20">
        <f>IFERROR(VLOOKUP(A19,'2026.06.07 nyári egyéni'!A:G,6,0),25)</f>
        <v>25</v>
      </c>
      <c r="T19" s="23" t="str">
        <f>IFERROR(VLOOKUP(A19,'2026.08.8-9. éjszakai páros'!A:H,2,0),"nem vett részt")</f>
        <v>nem vett részt</v>
      </c>
      <c r="U19" s="23" t="str">
        <f>IFERROR(VLOOKUP(A19,'2026.08.8-9. éjszakai páros'!A:I,3,0),"-")</f>
        <v>-</v>
      </c>
      <c r="V19" s="23" t="str">
        <f>IFERROR(VLOOKUP(A19,'2026.08.8-9. éjszakai páros'!A:J,4,0),"-")</f>
        <v>-</v>
      </c>
      <c r="W19" s="23" t="str">
        <f>IFERROR(VLOOKUP(A19,'2026.08.8-9. éjszakai páros'!A:H,5,0),"-")</f>
        <v>-</v>
      </c>
      <c r="X19" s="23" t="str">
        <f>IFERROR(VLOOKUP(A19,'2026.08.8-9. éjszakai páros'!A:H,6,0),"-")</f>
        <v>-</v>
      </c>
      <c r="Y19" s="33">
        <f>IFERROR(VLOOKUP(A19,'2026.08.8-9. éjszakai páros'!A:H,8,0),25)</f>
        <v>25</v>
      </c>
      <c r="Z19" s="23" t="str">
        <f>IFERROR(VLOOKUP(A19,'2026.09.20. évzáró egyéni'!A:H,2,0),"nem vett részt")</f>
        <v>nem vett részt</v>
      </c>
      <c r="AA19" s="23" t="str">
        <f>IFERROR(VLOOKUP(A19,'2026.09.20. évzáró egyéni'!A:I,3,0),"-")</f>
        <v>-</v>
      </c>
      <c r="AB19" s="23" t="str">
        <f>IFERROR(VLOOKUP(A19,'2026.09.20. évzáró egyéni'!A:H,4,0),"-")</f>
        <v>-</v>
      </c>
      <c r="AC19" s="23" t="str">
        <f>IFERROR(VLOOKUP(A19,'2026.09.20. évzáró egyéni'!A:H,5,0),"-")</f>
        <v>-</v>
      </c>
      <c r="AD19" s="23" t="str">
        <f>IFERROR(VLOOKUP(A19,'2026.09.20. évzáró egyéni'!A:H,6,0),"-")</f>
        <v>-</v>
      </c>
      <c r="AE19" s="33">
        <f>IFERROR(VLOOKUP(A19,'2026.09.20. évzáró egyéni'!A:H,7,0),25)</f>
        <v>25</v>
      </c>
      <c r="AF19" s="3">
        <f>SUM(B19,H19,N19,T19,Z19)</f>
        <v>2</v>
      </c>
      <c r="AG19" s="20">
        <f>SUM(C19,I19,O19,U19,AA19)</f>
        <v>1</v>
      </c>
      <c r="AH19" s="20">
        <f>VLOOKUP(A19,'helyezési sorrend'!A:J,10,0)</f>
        <v>62</v>
      </c>
      <c r="AI19" s="9" t="str">
        <f>_xlfn.TEXTJOIN(" ",0,COUNT(B19,H19,N19,T19,Z19),"verseny")</f>
        <v>1 verseny</v>
      </c>
      <c r="AK19">
        <v>18</v>
      </c>
      <c r="AL19" s="21" t="s">
        <v>76</v>
      </c>
      <c r="AM19" s="39">
        <f>IFERROR(VLOOKUP(AL19,A:AI,34,0),"-")</f>
        <v>51</v>
      </c>
      <c r="AN19" s="30">
        <f>IFERROR(VLOOKUP(AL19,A:AI,32,0),"-")</f>
        <v>110.07000000000001</v>
      </c>
      <c r="AO19" s="31">
        <f>IFERROR(VLOOKUP(AL19,A:AI,33,0),"-")</f>
        <v>44</v>
      </c>
      <c r="AP19" s="1" t="str">
        <f>IFERROR(VLOOKUP(AL19,A:AI,35,0),"-")</f>
        <v>1 verseny</v>
      </c>
    </row>
    <row r="20" spans="1:42" x14ac:dyDescent="0.25">
      <c r="A20" s="25" t="s">
        <v>16</v>
      </c>
      <c r="B20" s="18">
        <f>IFERROR(VLOOKUP(A20,'2026.03.29 évnyitó egyéni'!A:G,3,0),"nem vett részt")</f>
        <v>7.75</v>
      </c>
      <c r="C20" s="20">
        <f>IFERROR(VLOOKUP(A20,'2026.03.29 évnyitó egyéni'!A:G,4,0),"-")</f>
        <v>11</v>
      </c>
      <c r="D20" s="20">
        <f>IFERROR(VLOOKUP(A20,'2026.03.29 évnyitó egyéni'!A:G,2,0),"-")</f>
        <v>14</v>
      </c>
      <c r="E20" s="20" t="str">
        <f>IFERROR(VLOOKUP(A20,'2026.03.29 évnyitó egyéni'!A:H,8,0),"-")</f>
        <v>B</v>
      </c>
      <c r="F20" s="18" t="str">
        <f>IFERROR(VLOOKUP(A20,'2026.03.29 évnyitó egyéni'!A:G,5,0),"-")</f>
        <v>egyéni</v>
      </c>
      <c r="G20" s="15">
        <f>IFERROR(VLOOKUP(A20,'2026.03.29 évnyitó egyéni'!A:G,7,0),25)</f>
        <v>11</v>
      </c>
      <c r="H20" s="18" t="str">
        <f>IFERROR(VLOOKUP(A20,'2026.05.9-10 20 órás páros'!A:C,3,0),"nem vett részt")</f>
        <v>nem vett részt</v>
      </c>
      <c r="I20" s="20" t="str">
        <f>IFERROR(VLOOKUP(A20,'2026.05.9-10 20 órás páros'!A:F,4,0),"-")</f>
        <v>-</v>
      </c>
      <c r="J20" s="20" t="str">
        <f>IFERROR(VLOOKUP(A20,'2026.05.9-10 20 órás páros'!A:G,2,0),"-")</f>
        <v>-</v>
      </c>
      <c r="K20" s="20" t="str">
        <f>IFERROR(VLOOKUP(A20,'2026.05.9-10 20 órás páros'!A:H,8,0),"-")</f>
        <v>-</v>
      </c>
      <c r="L20" s="20" t="str">
        <f>IFERROR(VLOOKUP(A20,'2026.05.9-10 20 órás páros'!A:I,5,0),"-")</f>
        <v>-</v>
      </c>
      <c r="M20" s="20">
        <f>IFERROR(VLOOKUP(A20,'2026.05.9-10 20 órás páros'!A:I,6,0),25)</f>
        <v>25</v>
      </c>
      <c r="N20" s="14">
        <f>IFERROR(VLOOKUP(A20,'2026.06.07 nyári egyéni'!A:D,3,0),"nem vett részt")</f>
        <v>6.37</v>
      </c>
      <c r="O20" s="33">
        <f>IFERROR(VLOOKUP(A20,'2026.06.07 nyári egyéni'!A:AB,4,0),"-")</f>
        <v>8</v>
      </c>
      <c r="P20" s="33">
        <f>IFERROR(VLOOKUP(A20,'2026.06.07 nyári egyéni'!A:AC,2,0),"-")</f>
        <v>14</v>
      </c>
      <c r="Q20" s="33" t="str">
        <f>IFERROR(VLOOKUP(A20,'2026.06.07 nyári egyéni'!A:AD,8,0),"-")</f>
        <v>A</v>
      </c>
      <c r="R20" s="33" t="str">
        <f>IFERROR(VLOOKUP(A20,'2026.06.07 nyári egyéni'!A:G,5,0),"-")</f>
        <v>egyéni</v>
      </c>
      <c r="S20" s="20">
        <f>IFERROR(VLOOKUP(A20,'2026.06.07 nyári egyéni'!A:G,6,0),25)</f>
        <v>22</v>
      </c>
      <c r="T20" s="23" t="str">
        <f>IFERROR(VLOOKUP(A20,'2026.08.8-9. éjszakai páros'!A:H,2,0),"nem vett részt")</f>
        <v>nem vett részt</v>
      </c>
      <c r="U20" s="23" t="str">
        <f>IFERROR(VLOOKUP(A20,'2026.08.8-9. éjszakai páros'!A:I,3,0),"-")</f>
        <v>-</v>
      </c>
      <c r="V20" s="23" t="str">
        <f>IFERROR(VLOOKUP(A20,'2026.08.8-9. éjszakai páros'!A:J,4,0),"-")</f>
        <v>-</v>
      </c>
      <c r="W20" s="23" t="str">
        <f>IFERROR(VLOOKUP(A20,'2026.08.8-9. éjszakai páros'!A:H,5,0),"-")</f>
        <v>-</v>
      </c>
      <c r="X20" s="23" t="str">
        <f>IFERROR(VLOOKUP(A20,'2026.08.8-9. éjszakai páros'!A:H,6,0),"-")</f>
        <v>-</v>
      </c>
      <c r="Y20" s="33">
        <f>IFERROR(VLOOKUP(A20,'2026.08.8-9. éjszakai páros'!A:H,8,0),25)</f>
        <v>25</v>
      </c>
      <c r="Z20" s="23" t="str">
        <f>IFERROR(VLOOKUP(A20,'2026.09.20. évzáró egyéni'!A:H,2,0),"nem vett részt")</f>
        <v>nem vett részt</v>
      </c>
      <c r="AA20" s="23" t="str">
        <f>IFERROR(VLOOKUP(A20,'2026.09.20. évzáró egyéni'!A:I,3,0),"-")</f>
        <v>-</v>
      </c>
      <c r="AB20" s="23" t="str">
        <f>IFERROR(VLOOKUP(A20,'2026.09.20. évzáró egyéni'!A:H,4,0),"-")</f>
        <v>-</v>
      </c>
      <c r="AC20" s="23" t="str">
        <f>IFERROR(VLOOKUP(A20,'2026.09.20. évzáró egyéni'!A:H,5,0),"-")</f>
        <v>-</v>
      </c>
      <c r="AD20" s="23" t="str">
        <f>IFERROR(VLOOKUP(A20,'2026.09.20. évzáró egyéni'!A:H,6,0),"-")</f>
        <v>-</v>
      </c>
      <c r="AE20" s="33">
        <f>IFERROR(VLOOKUP(A20,'2026.09.20. évzáró egyéni'!A:H,7,0),25)</f>
        <v>25</v>
      </c>
      <c r="AF20" s="3">
        <f>SUM(B20,H20,N20,T20,Z20)</f>
        <v>14.120000000000001</v>
      </c>
      <c r="AG20" s="20">
        <f>SUM(C20,I20,O20,U20,AA20)</f>
        <v>19</v>
      </c>
      <c r="AH20" s="20">
        <f>VLOOKUP(A20,'helyezési sorrend'!A:J,10,0)</f>
        <v>58</v>
      </c>
      <c r="AI20" s="9" t="str">
        <f>_xlfn.TEXTJOIN(" ",0,COUNT(B20,H20,N20,T20,Z20),"verseny")</f>
        <v>2 verseny</v>
      </c>
      <c r="AK20">
        <v>19</v>
      </c>
      <c r="AL20" s="21" t="s">
        <v>28</v>
      </c>
      <c r="AM20" s="39">
        <f>IFERROR(VLOOKUP(AL20,A:AI,34,0),"-")</f>
        <v>54</v>
      </c>
      <c r="AN20" s="30">
        <f>IFERROR(VLOOKUP(AL20,A:AI,32,0),"-")</f>
        <v>26.240000000000002</v>
      </c>
      <c r="AO20" s="31">
        <f>IFERROR(VLOOKUP(AL20,A:AI,33,0),"-")</f>
        <v>15</v>
      </c>
      <c r="AP20" s="1" t="str">
        <f>IFERROR(VLOOKUP(AL20,A:AI,35,0),"-")</f>
        <v>1 verseny</v>
      </c>
    </row>
    <row r="21" spans="1:42" x14ac:dyDescent="0.25">
      <c r="A21" s="25" t="s">
        <v>154</v>
      </c>
      <c r="B21" s="18" t="str">
        <f>IFERROR(VLOOKUP(A21,'2026.03.29 évnyitó egyéni'!A:G,3,0),"nem vett részt")</f>
        <v>nem vett részt</v>
      </c>
      <c r="C21" s="20" t="str">
        <f>IFERROR(VLOOKUP(A21,'2026.03.29 évnyitó egyéni'!A:G,4,0),"-")</f>
        <v>-</v>
      </c>
      <c r="D21" s="20" t="str">
        <f>IFERROR(VLOOKUP(A21,'2026.03.29 évnyitó egyéni'!A:G,2,0),"-")</f>
        <v>-</v>
      </c>
      <c r="E21" s="20" t="str">
        <f>IFERROR(VLOOKUP(A21,'2026.03.29 évnyitó egyéni'!A:H,8,0),"-")</f>
        <v>-</v>
      </c>
      <c r="F21" s="18" t="str">
        <f>IFERROR(VLOOKUP(A21,'2026.03.29 évnyitó egyéni'!A:G,5,0),"-")</f>
        <v>-</v>
      </c>
      <c r="G21" s="15">
        <f>IFERROR(VLOOKUP(A21,'2026.03.29 évnyitó egyéni'!A:G,7,0),25)</f>
        <v>25</v>
      </c>
      <c r="H21" s="18" t="str">
        <f>IFERROR(VLOOKUP(A21,'2026.05.9-10 20 órás páros'!A:C,3,0),"nem vett részt")</f>
        <v>nem vett részt</v>
      </c>
      <c r="I21" s="20" t="str">
        <f>IFERROR(VLOOKUP(A21,'2026.05.9-10 20 órás páros'!A:F,4,0),"-")</f>
        <v>-</v>
      </c>
      <c r="J21" s="20" t="str">
        <f>IFERROR(VLOOKUP(A21,'2026.05.9-10 20 órás páros'!A:G,2,0),"-")</f>
        <v>-</v>
      </c>
      <c r="K21" s="20" t="str">
        <f>IFERROR(VLOOKUP(A21,'2026.05.9-10 20 órás páros'!A:H,8,0),"-")</f>
        <v>-</v>
      </c>
      <c r="L21" s="20" t="str">
        <f>IFERROR(VLOOKUP(A21,'2026.05.9-10 20 órás páros'!A:I,5,0),"-")</f>
        <v>-</v>
      </c>
      <c r="M21" s="20">
        <f>IFERROR(VLOOKUP(A21,'2026.05.9-10 20 órás páros'!A:I,6,0),25)</f>
        <v>25</v>
      </c>
      <c r="N21" s="14">
        <f>IFERROR(VLOOKUP(A21,'2026.06.07 nyári egyéni'!A:D,3,0),"nem vett részt")</f>
        <v>0</v>
      </c>
      <c r="O21" s="33">
        <f>IFERROR(VLOOKUP(A21,'2026.06.07 nyári egyéni'!A:AB,4,0),"-")</f>
        <v>0</v>
      </c>
      <c r="P21" s="33">
        <f>IFERROR(VLOOKUP(A21,'2026.06.07 nyári egyéni'!A:AC,2,0),"-")</f>
        <v>28</v>
      </c>
      <c r="Q21" s="33" t="str">
        <f>IFERROR(VLOOKUP(A21,'2026.06.07 nyári egyéni'!A:AD,8,0),"-")</f>
        <v>C</v>
      </c>
      <c r="R21" s="33" t="str">
        <f>IFERROR(VLOOKUP(A21,'2026.06.07 nyári egyéni'!A:G,5,0),"-")</f>
        <v>egyéni</v>
      </c>
      <c r="S21" s="20">
        <f>IFERROR(VLOOKUP(A21,'2026.06.07 nyári egyéni'!A:G,6,0),25)</f>
        <v>24</v>
      </c>
      <c r="T21" s="23" t="str">
        <f>IFERROR(VLOOKUP(A21,'2026.08.8-9. éjszakai páros'!A:H,2,0),"nem vett részt")</f>
        <v>nem vett részt</v>
      </c>
      <c r="U21" s="23" t="str">
        <f>IFERROR(VLOOKUP(A21,'2026.08.8-9. éjszakai páros'!A:I,3,0),"-")</f>
        <v>-</v>
      </c>
      <c r="V21" s="23" t="str">
        <f>IFERROR(VLOOKUP(A21,'2026.08.8-9. éjszakai páros'!A:J,4,0),"-")</f>
        <v>-</v>
      </c>
      <c r="W21" s="23" t="str">
        <f>IFERROR(VLOOKUP(A21,'2026.08.8-9. éjszakai páros'!A:H,5,0),"-")</f>
        <v>-</v>
      </c>
      <c r="X21" s="23" t="str">
        <f>IFERROR(VLOOKUP(A21,'2026.08.8-9. éjszakai páros'!A:H,6,0),"-")</f>
        <v>-</v>
      </c>
      <c r="Y21" s="33">
        <f>IFERROR(VLOOKUP(A21,'2026.08.8-9. éjszakai páros'!A:H,8,0),25)</f>
        <v>25</v>
      </c>
      <c r="Z21" s="23" t="str">
        <f>IFERROR(VLOOKUP(A21,'2026.09.20. évzáró egyéni'!A:H,2,0),"nem vett részt")</f>
        <v>nem vett részt</v>
      </c>
      <c r="AA21" s="23" t="str">
        <f>IFERROR(VLOOKUP(A21,'2026.09.20. évzáró egyéni'!A:I,3,0),"-")</f>
        <v>-</v>
      </c>
      <c r="AB21" s="23" t="str">
        <f>IFERROR(VLOOKUP(A21,'2026.09.20. évzáró egyéni'!A:H,4,0),"-")</f>
        <v>-</v>
      </c>
      <c r="AC21" s="23" t="str">
        <f>IFERROR(VLOOKUP(A21,'2026.09.20. évzáró egyéni'!A:H,5,0),"-")</f>
        <v>-</v>
      </c>
      <c r="AD21" s="23" t="str">
        <f>IFERROR(VLOOKUP(A21,'2026.09.20. évzáró egyéni'!A:H,6,0),"-")</f>
        <v>-</v>
      </c>
      <c r="AE21" s="33">
        <f>IFERROR(VLOOKUP(A21,'2026.09.20. évzáró egyéni'!A:H,7,0),25)</f>
        <v>25</v>
      </c>
      <c r="AF21" s="3">
        <f>SUM(B21,H21,N21,T21,Z21)</f>
        <v>0</v>
      </c>
      <c r="AG21" s="20">
        <f>SUM(C21,I21,O21,U21,AA21)</f>
        <v>0</v>
      </c>
      <c r="AH21" s="20">
        <f>VLOOKUP(A21,'helyezési sorrend'!A:J,10,0)</f>
        <v>74</v>
      </c>
      <c r="AI21" s="9" t="str">
        <f>_xlfn.TEXTJOIN(" ",0,COUNT(B21,H21,N21,T21,Z21),"verseny")</f>
        <v>1 verseny</v>
      </c>
      <c r="AK21">
        <v>20</v>
      </c>
      <c r="AL21" s="21" t="s">
        <v>75</v>
      </c>
      <c r="AM21" s="39">
        <f>IFERROR(VLOOKUP(AL21,A:AI,34,0),"-")</f>
        <v>55</v>
      </c>
      <c r="AN21" s="30">
        <f>IFERROR(VLOOKUP(AL21,A:AI,32,0),"-")</f>
        <v>48.02</v>
      </c>
      <c r="AO21" s="31">
        <f>IFERROR(VLOOKUP(AL21,A:AI,33,0),"-")</f>
        <v>19</v>
      </c>
      <c r="AP21" s="1" t="str">
        <f>IFERROR(VLOOKUP(AL21,A:AI,35,0),"-")</f>
        <v>2 verseny</v>
      </c>
    </row>
    <row r="22" spans="1:42" x14ac:dyDescent="0.25">
      <c r="A22" s="25" t="s">
        <v>17</v>
      </c>
      <c r="B22" s="18">
        <f>IFERROR(VLOOKUP(A22,'2026.03.29 évnyitó egyéni'!A:G,3,0),"nem vett részt")</f>
        <v>5.98</v>
      </c>
      <c r="C22" s="20">
        <f>IFERROR(VLOOKUP(A22,'2026.03.29 évnyitó egyéni'!A:G,4,0),"-")</f>
        <v>8</v>
      </c>
      <c r="D22" s="20">
        <f>IFERROR(VLOOKUP(A22,'2026.03.29 évnyitó egyéni'!A:G,2,0),"-")</f>
        <v>35</v>
      </c>
      <c r="E22" s="20" t="str">
        <f>IFERROR(VLOOKUP(A22,'2026.03.29 évnyitó egyéni'!A:H,8,0),"-")</f>
        <v>C</v>
      </c>
      <c r="F22" s="18" t="str">
        <f>IFERROR(VLOOKUP(A22,'2026.03.29 évnyitó egyéni'!A:G,5,0),"-")</f>
        <v>egyéni</v>
      </c>
      <c r="G22" s="15">
        <f>IFERROR(VLOOKUP(A22,'2026.03.29 évnyitó egyéni'!A:G,7,0),25)</f>
        <v>12</v>
      </c>
      <c r="H22" s="18" t="str">
        <f>IFERROR(VLOOKUP(A22,'2026.05.9-10 20 órás páros'!A:C,3,0),"nem vett részt")</f>
        <v>nem vett részt</v>
      </c>
      <c r="I22" s="20" t="str">
        <f>IFERROR(VLOOKUP(A22,'2026.05.9-10 20 órás páros'!A:F,4,0),"-")</f>
        <v>-</v>
      </c>
      <c r="J22" s="20" t="str">
        <f>IFERROR(VLOOKUP(A22,'2026.05.9-10 20 órás páros'!A:G,2,0),"-")</f>
        <v>-</v>
      </c>
      <c r="K22" s="20" t="str">
        <f>IFERROR(VLOOKUP(A22,'2026.05.9-10 20 órás páros'!A:H,8,0),"-")</f>
        <v>-</v>
      </c>
      <c r="L22" s="20" t="str">
        <f>IFERROR(VLOOKUP(A22,'2026.05.9-10 20 órás páros'!A:I,5,0),"-")</f>
        <v>-</v>
      </c>
      <c r="M22" s="20">
        <f>IFERROR(VLOOKUP(A22,'2026.05.9-10 20 órás páros'!A:I,6,0),25)</f>
        <v>25</v>
      </c>
      <c r="N22" s="14">
        <f>IFERROR(VLOOKUP(A22,'2026.06.07 nyári egyéni'!A:D,3,0),"nem vett részt")</f>
        <v>16.399999999999999</v>
      </c>
      <c r="O22" s="33">
        <f>IFERROR(VLOOKUP(A22,'2026.06.07 nyári egyéni'!A:AB,4,0),"-")</f>
        <v>12</v>
      </c>
      <c r="P22" s="33">
        <f>IFERROR(VLOOKUP(A22,'2026.06.07 nyári egyéni'!A:AC,2,0),"-")</f>
        <v>13</v>
      </c>
      <c r="Q22" s="33" t="str">
        <f>IFERROR(VLOOKUP(A22,'2026.06.07 nyári egyéni'!A:AD,8,0),"-")</f>
        <v>A</v>
      </c>
      <c r="R22" s="33" t="str">
        <f>IFERROR(VLOOKUP(A22,'2026.06.07 nyári egyéni'!A:G,5,0),"-")</f>
        <v>egyéni</v>
      </c>
      <c r="S22" s="20">
        <f>IFERROR(VLOOKUP(A22,'2026.06.07 nyári egyéni'!A:G,6,0),25)</f>
        <v>11</v>
      </c>
      <c r="T22" s="23" t="str">
        <f>IFERROR(VLOOKUP(A22,'2026.08.8-9. éjszakai páros'!A:H,2,0),"nem vett részt")</f>
        <v>nem vett részt</v>
      </c>
      <c r="U22" s="23" t="str">
        <f>IFERROR(VLOOKUP(A22,'2026.08.8-9. éjszakai páros'!A:I,3,0),"-")</f>
        <v>-</v>
      </c>
      <c r="V22" s="23" t="str">
        <f>IFERROR(VLOOKUP(A22,'2026.08.8-9. éjszakai páros'!A:J,4,0),"-")</f>
        <v>-</v>
      </c>
      <c r="W22" s="23" t="str">
        <f>IFERROR(VLOOKUP(A22,'2026.08.8-9. éjszakai páros'!A:H,5,0),"-")</f>
        <v>-</v>
      </c>
      <c r="X22" s="23" t="str">
        <f>IFERROR(VLOOKUP(A22,'2026.08.8-9. éjszakai páros'!A:H,6,0),"-")</f>
        <v>-</v>
      </c>
      <c r="Y22" s="33">
        <f>IFERROR(VLOOKUP(A22,'2026.08.8-9. éjszakai páros'!A:H,8,0),25)</f>
        <v>25</v>
      </c>
      <c r="Z22" s="23" t="str">
        <f>IFERROR(VLOOKUP(A22,'2026.09.20. évzáró egyéni'!A:H,2,0),"nem vett részt")</f>
        <v>nem vett részt</v>
      </c>
      <c r="AA22" s="23" t="str">
        <f>IFERROR(VLOOKUP(A22,'2026.09.20. évzáró egyéni'!A:I,3,0),"-")</f>
        <v>-</v>
      </c>
      <c r="AB22" s="23" t="str">
        <f>IFERROR(VLOOKUP(A22,'2026.09.20. évzáró egyéni'!A:H,4,0),"-")</f>
        <v>-</v>
      </c>
      <c r="AC22" s="23" t="str">
        <f>IFERROR(VLOOKUP(A22,'2026.09.20. évzáró egyéni'!A:H,5,0),"-")</f>
        <v>-</v>
      </c>
      <c r="AD22" s="23" t="str">
        <f>IFERROR(VLOOKUP(A22,'2026.09.20. évzáró egyéni'!A:H,6,0),"-")</f>
        <v>-</v>
      </c>
      <c r="AE22" s="33">
        <f>IFERROR(VLOOKUP(A22,'2026.09.20. évzáró egyéni'!A:H,7,0),25)</f>
        <v>25</v>
      </c>
      <c r="AF22" s="3">
        <f>SUM(B22,H22,N22,T22,Z22)</f>
        <v>22.38</v>
      </c>
      <c r="AG22" s="20">
        <f>SUM(C22,I22,O22,U22,AA22)</f>
        <v>20</v>
      </c>
      <c r="AH22" s="20">
        <f>VLOOKUP(A22,'helyezési sorrend'!A:J,10,0)</f>
        <v>48</v>
      </c>
      <c r="AI22" s="9" t="str">
        <f>_xlfn.TEXTJOIN(" ",0,COUNT(B22,H22,N22,T22,Z22),"verseny")</f>
        <v>2 verseny</v>
      </c>
      <c r="AK22">
        <v>21</v>
      </c>
      <c r="AL22" s="21" t="s">
        <v>81</v>
      </c>
      <c r="AM22" s="39">
        <f>IFERROR(VLOOKUP(AL22,A:AI,34,0),"-")</f>
        <v>55</v>
      </c>
      <c r="AN22" s="30">
        <f>IFERROR(VLOOKUP(AL22,A:AI,32,0),"-")</f>
        <v>81.58</v>
      </c>
      <c r="AO22" s="31">
        <f>IFERROR(VLOOKUP(AL22,A:AI,33,0),"-")</f>
        <v>28</v>
      </c>
      <c r="AP22" s="1" t="str">
        <f>IFERROR(VLOOKUP(AL22,A:AI,35,0),"-")</f>
        <v>1 verseny</v>
      </c>
    </row>
    <row r="23" spans="1:42" x14ac:dyDescent="0.25">
      <c r="A23" s="25" t="s">
        <v>23</v>
      </c>
      <c r="B23" s="18">
        <f>IFERROR(VLOOKUP(A23,'2026.03.29 évnyitó egyéni'!A:G,3,0),"nem vett részt")</f>
        <v>0</v>
      </c>
      <c r="C23" s="20">
        <f>IFERROR(VLOOKUP(A23,'2026.03.29 évnyitó egyéni'!A:G,4,0),"-")</f>
        <v>0</v>
      </c>
      <c r="D23" s="20">
        <f>IFERROR(VLOOKUP(A23,'2026.03.29 évnyitó egyéni'!A:G,2,0),"-")</f>
        <v>4</v>
      </c>
      <c r="E23" s="20" t="str">
        <f>IFERROR(VLOOKUP(A23,'2026.03.29 évnyitó egyéni'!A:H,8,0),"-")</f>
        <v>A</v>
      </c>
      <c r="F23" s="18" t="str">
        <f>IFERROR(VLOOKUP(A23,'2026.03.29 évnyitó egyéni'!A:G,5,0),"-")</f>
        <v>egyéni</v>
      </c>
      <c r="G23" s="15">
        <f>IFERROR(VLOOKUP(A23,'2026.03.29 évnyitó egyéni'!A:G,7,0),25)</f>
        <v>17</v>
      </c>
      <c r="H23" s="18" t="str">
        <f>IFERROR(VLOOKUP(A23,'2026.05.9-10 20 órás páros'!A:C,3,0),"nem vett részt")</f>
        <v>nem vett részt</v>
      </c>
      <c r="I23" s="20" t="str">
        <f>IFERROR(VLOOKUP(A23,'2026.05.9-10 20 órás páros'!A:F,4,0),"-")</f>
        <v>-</v>
      </c>
      <c r="J23" s="20" t="str">
        <f>IFERROR(VLOOKUP(A23,'2026.05.9-10 20 órás páros'!A:G,2,0),"-")</f>
        <v>-</v>
      </c>
      <c r="K23" s="20" t="str">
        <f>IFERROR(VLOOKUP(A23,'2026.05.9-10 20 órás páros'!A:H,8,0),"-")</f>
        <v>-</v>
      </c>
      <c r="L23" s="20" t="str">
        <f>IFERROR(VLOOKUP(A23,'2026.05.9-10 20 órás páros'!A:I,5,0),"-")</f>
        <v>-</v>
      </c>
      <c r="M23" s="20">
        <f>IFERROR(VLOOKUP(A23,'2026.05.9-10 20 órás páros'!A:I,6,0),25)</f>
        <v>25</v>
      </c>
      <c r="N23" s="14" t="str">
        <f>IFERROR(VLOOKUP(A23,'2026.06.07 nyári egyéni'!A:D,3,0),"nem vett részt")</f>
        <v>nem vett részt</v>
      </c>
      <c r="O23" s="33" t="str">
        <f>IFERROR(VLOOKUP(A23,'2026.06.07 nyári egyéni'!A:AB,4,0),"-")</f>
        <v>-</v>
      </c>
      <c r="P23" s="33" t="str">
        <f>IFERROR(VLOOKUP(A23,'2026.06.07 nyári egyéni'!A:AC,2,0),"-")</f>
        <v>-</v>
      </c>
      <c r="Q23" s="33" t="str">
        <f>IFERROR(VLOOKUP(A23,'2026.06.07 nyári egyéni'!A:AD,8,0),"-")</f>
        <v>-</v>
      </c>
      <c r="R23" s="33" t="str">
        <f>IFERROR(VLOOKUP(A23,'2026.06.07 nyári egyéni'!A:G,5,0),"-")</f>
        <v>-</v>
      </c>
      <c r="S23" s="20">
        <f>IFERROR(VLOOKUP(A23,'2026.06.07 nyári egyéni'!A:G,6,0),25)</f>
        <v>25</v>
      </c>
      <c r="T23" s="23" t="str">
        <f>IFERROR(VLOOKUP(A23,'2026.08.8-9. éjszakai páros'!A:H,2,0),"nem vett részt")</f>
        <v>nem vett részt</v>
      </c>
      <c r="U23" s="23" t="str">
        <f>IFERROR(VLOOKUP(A23,'2026.08.8-9. éjszakai páros'!A:I,3,0),"-")</f>
        <v>-</v>
      </c>
      <c r="V23" s="23" t="str">
        <f>IFERROR(VLOOKUP(A23,'2026.08.8-9. éjszakai páros'!A:J,4,0),"-")</f>
        <v>-</v>
      </c>
      <c r="W23" s="23" t="str">
        <f>IFERROR(VLOOKUP(A23,'2026.08.8-9. éjszakai páros'!A:H,5,0),"-")</f>
        <v>-</v>
      </c>
      <c r="X23" s="23" t="str">
        <f>IFERROR(VLOOKUP(A23,'2026.08.8-9. éjszakai páros'!A:H,6,0),"-")</f>
        <v>-</v>
      </c>
      <c r="Y23" s="33">
        <f>IFERROR(VLOOKUP(A23,'2026.08.8-9. éjszakai páros'!A:H,8,0),25)</f>
        <v>25</v>
      </c>
      <c r="Z23" s="23" t="str">
        <f>IFERROR(VLOOKUP(A23,'2026.09.20. évzáró egyéni'!A:H,2,0),"nem vett részt")</f>
        <v>nem vett részt</v>
      </c>
      <c r="AA23" s="23" t="str">
        <f>IFERROR(VLOOKUP(A23,'2026.09.20. évzáró egyéni'!A:I,3,0),"-")</f>
        <v>-</v>
      </c>
      <c r="AB23" s="23" t="str">
        <f>IFERROR(VLOOKUP(A23,'2026.09.20. évzáró egyéni'!A:H,4,0),"-")</f>
        <v>-</v>
      </c>
      <c r="AC23" s="23" t="str">
        <f>IFERROR(VLOOKUP(A23,'2026.09.20. évzáró egyéni'!A:H,5,0),"-")</f>
        <v>-</v>
      </c>
      <c r="AD23" s="23" t="str">
        <f>IFERROR(VLOOKUP(A23,'2026.09.20. évzáró egyéni'!A:H,6,0),"-")</f>
        <v>-</v>
      </c>
      <c r="AE23" s="33">
        <f>IFERROR(VLOOKUP(A23,'2026.09.20. évzáró egyéni'!A:H,7,0),25)</f>
        <v>25</v>
      </c>
      <c r="AF23" s="3">
        <f>SUM(B23,H23,N23,T23,Z23)</f>
        <v>0</v>
      </c>
      <c r="AG23" s="20">
        <f>SUM(C23,I23,O23,U23,AA23)</f>
        <v>0</v>
      </c>
      <c r="AH23" s="20">
        <f>VLOOKUP(A23,'helyezési sorrend'!A:J,10,0)</f>
        <v>67</v>
      </c>
      <c r="AI23" s="9" t="str">
        <f>_xlfn.TEXTJOIN(" ",0,COUNT(B23,H23,N23,T23,Z23),"verseny")</f>
        <v>1 verseny</v>
      </c>
      <c r="AK23">
        <v>22</v>
      </c>
      <c r="AL23" s="21" t="s">
        <v>96</v>
      </c>
      <c r="AM23" s="39">
        <f>IFERROR(VLOOKUP(AL23,A:AI,34,0),"-")</f>
        <v>56</v>
      </c>
      <c r="AN23" s="30">
        <f>IFERROR(VLOOKUP(AL23,A:AI,32,0),"-")</f>
        <v>35.64</v>
      </c>
      <c r="AO23" s="31">
        <f>IFERROR(VLOOKUP(AL23,A:AI,33,0),"-")</f>
        <v>15</v>
      </c>
      <c r="AP23" s="1" t="str">
        <f>IFERROR(VLOOKUP(AL23,A:AI,35,0),"-")</f>
        <v>1 verseny</v>
      </c>
    </row>
    <row r="24" spans="1:42" x14ac:dyDescent="0.25">
      <c r="A24" s="25" t="s">
        <v>29</v>
      </c>
      <c r="B24" s="18">
        <f>IFERROR(VLOOKUP(A24,'2026.03.29 évnyitó egyéni'!A:G,3,0),"nem vett részt")</f>
        <v>0</v>
      </c>
      <c r="C24" s="20">
        <f>IFERROR(VLOOKUP(A24,'2026.03.29 évnyitó egyéni'!A:G,4,0),"-")</f>
        <v>0</v>
      </c>
      <c r="D24" s="20">
        <f>IFERROR(VLOOKUP(A24,'2026.03.29 évnyitó egyéni'!A:G,2,0),"-")</f>
        <v>29</v>
      </c>
      <c r="E24" s="20" t="str">
        <f>IFERROR(VLOOKUP(A24,'2026.03.29 évnyitó egyéni'!A:H,8,0),"-")</f>
        <v>C</v>
      </c>
      <c r="F24" s="18" t="str">
        <f>IFERROR(VLOOKUP(A24,'2026.03.29 évnyitó egyéni'!A:G,5,0),"-")</f>
        <v>egyéni</v>
      </c>
      <c r="G24" s="15">
        <f>IFERROR(VLOOKUP(A24,'2026.03.29 évnyitó egyéni'!A:G,7,0),25)</f>
        <v>17</v>
      </c>
      <c r="H24" s="18" t="str">
        <f>IFERROR(VLOOKUP(A24,'2026.05.9-10 20 órás páros'!A:C,3,0),"nem vett részt")</f>
        <v>nem vett részt</v>
      </c>
      <c r="I24" s="20" t="str">
        <f>IFERROR(VLOOKUP(A24,'2026.05.9-10 20 órás páros'!A:F,4,0),"-")</f>
        <v>-</v>
      </c>
      <c r="J24" s="20" t="str">
        <f>IFERROR(VLOOKUP(A24,'2026.05.9-10 20 órás páros'!A:G,2,0),"-")</f>
        <v>-</v>
      </c>
      <c r="K24" s="20" t="str">
        <f>IFERROR(VLOOKUP(A24,'2026.05.9-10 20 órás páros'!A:H,8,0),"-")</f>
        <v>-</v>
      </c>
      <c r="L24" s="20" t="str">
        <f>IFERROR(VLOOKUP(A24,'2026.05.9-10 20 órás páros'!A:I,5,0),"-")</f>
        <v>-</v>
      </c>
      <c r="M24" s="20">
        <f>IFERROR(VLOOKUP(A24,'2026.05.9-10 20 órás páros'!A:I,6,0),25)</f>
        <v>25</v>
      </c>
      <c r="N24" s="14">
        <f>IFERROR(VLOOKUP(A24,'2026.06.07 nyári egyéni'!A:D,3,0),"nem vett részt")</f>
        <v>12.129999999999999</v>
      </c>
      <c r="O24" s="33">
        <f>IFERROR(VLOOKUP(A24,'2026.06.07 nyári egyéni'!A:AB,4,0),"-")</f>
        <v>4</v>
      </c>
      <c r="P24" s="33">
        <f>IFERROR(VLOOKUP(A24,'2026.06.07 nyári egyéni'!A:AC,2,0),"-")</f>
        <v>35</v>
      </c>
      <c r="Q24" s="33" t="str">
        <f>IFERROR(VLOOKUP(A24,'2026.06.07 nyári egyéni'!A:AD,8,0),"-")</f>
        <v>C</v>
      </c>
      <c r="R24" s="33" t="str">
        <f>IFERROR(VLOOKUP(A24,'2026.06.07 nyári egyéni'!A:G,5,0),"-")</f>
        <v>egyéni</v>
      </c>
      <c r="S24" s="20">
        <f>IFERROR(VLOOKUP(A24,'2026.06.07 nyári egyéni'!A:G,6,0),25)</f>
        <v>19</v>
      </c>
      <c r="T24" s="23" t="str">
        <f>IFERROR(VLOOKUP(A24,'2026.08.8-9. éjszakai páros'!A:H,2,0),"nem vett részt")</f>
        <v>nem vett részt</v>
      </c>
      <c r="U24" s="23" t="str">
        <f>IFERROR(VLOOKUP(A24,'2026.08.8-9. éjszakai páros'!A:I,3,0),"-")</f>
        <v>-</v>
      </c>
      <c r="V24" s="23" t="str">
        <f>IFERROR(VLOOKUP(A24,'2026.08.8-9. éjszakai páros'!A:J,4,0),"-")</f>
        <v>-</v>
      </c>
      <c r="W24" s="23" t="str">
        <f>IFERROR(VLOOKUP(A24,'2026.08.8-9. éjszakai páros'!A:H,5,0),"-")</f>
        <v>-</v>
      </c>
      <c r="X24" s="23" t="str">
        <f>IFERROR(VLOOKUP(A24,'2026.08.8-9. éjszakai páros'!A:H,6,0),"-")</f>
        <v>-</v>
      </c>
      <c r="Y24" s="33">
        <f>IFERROR(VLOOKUP(A24,'2026.08.8-9. éjszakai páros'!A:H,8,0),25)</f>
        <v>25</v>
      </c>
      <c r="Z24" s="23" t="str">
        <f>IFERROR(VLOOKUP(A24,'2026.09.20. évzáró egyéni'!A:H,2,0),"nem vett részt")</f>
        <v>nem vett részt</v>
      </c>
      <c r="AA24" s="23" t="str">
        <f>IFERROR(VLOOKUP(A24,'2026.09.20. évzáró egyéni'!A:I,3,0),"-")</f>
        <v>-</v>
      </c>
      <c r="AB24" s="23" t="str">
        <f>IFERROR(VLOOKUP(A24,'2026.09.20. évzáró egyéni'!A:H,4,0),"-")</f>
        <v>-</v>
      </c>
      <c r="AC24" s="23" t="str">
        <f>IFERROR(VLOOKUP(A24,'2026.09.20. évzáró egyéni'!A:H,5,0),"-")</f>
        <v>-</v>
      </c>
      <c r="AD24" s="23" t="str">
        <f>IFERROR(VLOOKUP(A24,'2026.09.20. évzáró egyéni'!A:H,6,0),"-")</f>
        <v>-</v>
      </c>
      <c r="AE24" s="33">
        <f>IFERROR(VLOOKUP(A24,'2026.09.20. évzáró egyéni'!A:H,7,0),25)</f>
        <v>25</v>
      </c>
      <c r="AF24" s="3">
        <f>SUM(B24,H24,N24,T24,Z24)</f>
        <v>12.129999999999999</v>
      </c>
      <c r="AG24" s="20">
        <f>SUM(C24,I24,O24,U24,AA24)</f>
        <v>4</v>
      </c>
      <c r="AH24" s="20">
        <f>VLOOKUP(A24,'helyezési sorrend'!A:J,10,0)</f>
        <v>61</v>
      </c>
      <c r="AI24" s="9" t="str">
        <f>_xlfn.TEXTJOIN(" ",0,COUNT(B24,H24,N24,T24,Z24),"verseny")</f>
        <v>2 verseny</v>
      </c>
      <c r="AK24">
        <v>23</v>
      </c>
      <c r="AL24" s="29" t="s">
        <v>79</v>
      </c>
      <c r="AM24" s="39">
        <f>IFERROR(VLOOKUP(AL24,A:AI,34,0),"-")</f>
        <v>57</v>
      </c>
      <c r="AN24" s="30">
        <f>IFERROR(VLOOKUP(AL24,A:AI,32,0),"-")</f>
        <v>40.729999999999997</v>
      </c>
      <c r="AO24" s="31">
        <f>IFERROR(VLOOKUP(AL24,A:AI,33,0),"-")</f>
        <v>24</v>
      </c>
      <c r="AP24" s="1" t="str">
        <f>IFERROR(VLOOKUP(AL24,A:AI,35,0),"-")</f>
        <v>1 verseny</v>
      </c>
    </row>
    <row r="25" spans="1:42" x14ac:dyDescent="0.25">
      <c r="A25" s="25" t="s">
        <v>155</v>
      </c>
      <c r="B25" s="18" t="str">
        <f>IFERROR(VLOOKUP(A25,'2026.03.29 évnyitó egyéni'!A:G,3,0),"nem vett részt")</f>
        <v>nem vett részt</v>
      </c>
      <c r="C25" s="20" t="str">
        <f>IFERROR(VLOOKUP(A25,'2026.03.29 évnyitó egyéni'!A:G,4,0),"-")</f>
        <v>-</v>
      </c>
      <c r="D25" s="20" t="str">
        <f>IFERROR(VLOOKUP(A25,'2026.03.29 évnyitó egyéni'!A:G,2,0),"-")</f>
        <v>-</v>
      </c>
      <c r="E25" s="20" t="str">
        <f>IFERROR(VLOOKUP(A25,'2026.03.29 évnyitó egyéni'!A:H,8,0),"-")</f>
        <v>-</v>
      </c>
      <c r="F25" s="18" t="str">
        <f>IFERROR(VLOOKUP(A25,'2026.03.29 évnyitó egyéni'!A:G,5,0),"-")</f>
        <v>-</v>
      </c>
      <c r="G25" s="15">
        <f>IFERROR(VLOOKUP(A25,'2026.03.29 évnyitó egyéni'!A:G,7,0),25)</f>
        <v>25</v>
      </c>
      <c r="H25" s="18" t="str">
        <f>IFERROR(VLOOKUP(A25,'2026.05.9-10 20 órás páros'!A:C,3,0),"nem vett részt")</f>
        <v>nem vett részt</v>
      </c>
      <c r="I25" s="20" t="str">
        <f>IFERROR(VLOOKUP(A25,'2026.05.9-10 20 órás páros'!A:F,4,0),"-")</f>
        <v>-</v>
      </c>
      <c r="J25" s="20" t="str">
        <f>IFERROR(VLOOKUP(A25,'2026.05.9-10 20 órás páros'!A:G,2,0),"-")</f>
        <v>-</v>
      </c>
      <c r="K25" s="20" t="str">
        <f>IFERROR(VLOOKUP(A25,'2026.05.9-10 20 órás páros'!A:H,8,0),"-")</f>
        <v>-</v>
      </c>
      <c r="L25" s="20" t="str">
        <f>IFERROR(VLOOKUP(A25,'2026.05.9-10 20 órás páros'!A:I,5,0),"-")</f>
        <v>-</v>
      </c>
      <c r="M25" s="20">
        <f>IFERROR(VLOOKUP(A25,'2026.05.9-10 20 órás páros'!A:I,6,0),25)</f>
        <v>25</v>
      </c>
      <c r="N25" s="14">
        <f>IFERROR(VLOOKUP(A25,'2026.06.07 nyári egyéni'!A:D,3,0),"nem vett részt")</f>
        <v>12.2</v>
      </c>
      <c r="O25" s="33">
        <f>IFERROR(VLOOKUP(A25,'2026.06.07 nyári egyéni'!A:AB,4,0),"-")</f>
        <v>14</v>
      </c>
      <c r="P25" s="33">
        <f>IFERROR(VLOOKUP(A25,'2026.06.07 nyári egyéni'!A:AC,2,0),"-")</f>
        <v>8</v>
      </c>
      <c r="Q25" s="33" t="str">
        <f>IFERROR(VLOOKUP(A25,'2026.06.07 nyári egyéni'!A:AD,8,0),"-")</f>
        <v>A</v>
      </c>
      <c r="R25" s="33" t="str">
        <f>IFERROR(VLOOKUP(A25,'2026.06.07 nyári egyéni'!A:G,5,0),"-")</f>
        <v>egyéni</v>
      </c>
      <c r="S25" s="20">
        <f>IFERROR(VLOOKUP(A25,'2026.06.07 nyári egyéni'!A:G,6,0),25)</f>
        <v>15</v>
      </c>
      <c r="T25" s="23" t="str">
        <f>IFERROR(VLOOKUP(A25,'2026.08.8-9. éjszakai páros'!A:H,2,0),"nem vett részt")</f>
        <v>nem vett részt</v>
      </c>
      <c r="U25" s="23" t="str">
        <f>IFERROR(VLOOKUP(A25,'2026.08.8-9. éjszakai páros'!A:I,3,0),"-")</f>
        <v>-</v>
      </c>
      <c r="V25" s="23" t="str">
        <f>IFERROR(VLOOKUP(A25,'2026.08.8-9. éjszakai páros'!A:J,4,0),"-")</f>
        <v>-</v>
      </c>
      <c r="W25" s="23" t="str">
        <f>IFERROR(VLOOKUP(A25,'2026.08.8-9. éjszakai páros'!A:H,5,0),"-")</f>
        <v>-</v>
      </c>
      <c r="X25" s="23" t="str">
        <f>IFERROR(VLOOKUP(A25,'2026.08.8-9. éjszakai páros'!A:H,6,0),"-")</f>
        <v>-</v>
      </c>
      <c r="Y25" s="33">
        <f>IFERROR(VLOOKUP(A25,'2026.08.8-9. éjszakai páros'!A:H,8,0),25)</f>
        <v>25</v>
      </c>
      <c r="Z25" s="23" t="str">
        <f>IFERROR(VLOOKUP(A25,'2026.09.20. évzáró egyéni'!A:H,2,0),"nem vett részt")</f>
        <v>nem vett részt</v>
      </c>
      <c r="AA25" s="23" t="str">
        <f>IFERROR(VLOOKUP(A25,'2026.09.20. évzáró egyéni'!A:I,3,0),"-")</f>
        <v>-</v>
      </c>
      <c r="AB25" s="23" t="str">
        <f>IFERROR(VLOOKUP(A25,'2026.09.20. évzáró egyéni'!A:H,4,0),"-")</f>
        <v>-</v>
      </c>
      <c r="AC25" s="23" t="str">
        <f>IFERROR(VLOOKUP(A25,'2026.09.20. évzáró egyéni'!A:H,5,0),"-")</f>
        <v>-</v>
      </c>
      <c r="AD25" s="23" t="str">
        <f>IFERROR(VLOOKUP(A25,'2026.09.20. évzáró egyéni'!A:H,6,0),"-")</f>
        <v>-</v>
      </c>
      <c r="AE25" s="33">
        <f>IFERROR(VLOOKUP(A25,'2026.09.20. évzáró egyéni'!A:H,7,0),25)</f>
        <v>25</v>
      </c>
      <c r="AF25" s="3">
        <f>SUM(B25,H25,N25,T25,Z25)</f>
        <v>12.2</v>
      </c>
      <c r="AG25" s="20">
        <f>SUM(C25,I25,O25,U25,AA25)</f>
        <v>14</v>
      </c>
      <c r="AH25" s="20">
        <f>VLOOKUP(A25,'helyezési sorrend'!A:J,10,0)</f>
        <v>65</v>
      </c>
      <c r="AI25" s="9" t="str">
        <f>_xlfn.TEXTJOIN(" ",0,COUNT(B25,H25,N25,T25,Z25),"verseny")</f>
        <v>1 verseny</v>
      </c>
      <c r="AK25">
        <v>24</v>
      </c>
      <c r="AL25" s="21" t="s">
        <v>80</v>
      </c>
      <c r="AM25" s="39">
        <f>IFERROR(VLOOKUP(AL25,A:AI,34,0),"-")</f>
        <v>57</v>
      </c>
      <c r="AN25" s="30">
        <f>IFERROR(VLOOKUP(AL25,A:AI,32,0),"-")</f>
        <v>80.89</v>
      </c>
      <c r="AO25" s="31">
        <f>IFERROR(VLOOKUP(AL25,A:AI,33,0),"-")</f>
        <v>36</v>
      </c>
      <c r="AP25" s="1" t="str">
        <f>IFERROR(VLOOKUP(AL25,A:AI,35,0),"-")</f>
        <v>1 verseny</v>
      </c>
    </row>
    <row r="26" spans="1:42" x14ac:dyDescent="0.25">
      <c r="A26" s="25" t="s">
        <v>15</v>
      </c>
      <c r="B26" s="18">
        <f>IFERROR(VLOOKUP(A26,'2026.03.29 évnyitó egyéni'!A:G,3,0),"nem vett részt")</f>
        <v>17.509999999999998</v>
      </c>
      <c r="C26" s="20">
        <f>IFERROR(VLOOKUP(A26,'2026.03.29 évnyitó egyéni'!A:G,4,0),"-")</f>
        <v>18</v>
      </c>
      <c r="D26" s="20">
        <f>IFERROR(VLOOKUP(A26,'2026.03.29 évnyitó egyéni'!A:G,2,0),"-")</f>
        <v>8</v>
      </c>
      <c r="E26" s="20" t="str">
        <f>IFERROR(VLOOKUP(A26,'2026.03.29 évnyitó egyéni'!A:H,8,0),"-")</f>
        <v>A</v>
      </c>
      <c r="F26" s="18" t="str">
        <f>IFERROR(VLOOKUP(A26,'2026.03.29 évnyitó egyéni'!A:G,5,0),"-")</f>
        <v>egyéni</v>
      </c>
      <c r="G26" s="15">
        <f>IFERROR(VLOOKUP(A26,'2026.03.29 évnyitó egyéni'!A:G,7,0),25)</f>
        <v>8</v>
      </c>
      <c r="H26" s="18" t="str">
        <f>IFERROR(VLOOKUP(A26,'2026.05.9-10 20 órás páros'!A:C,3,0),"nem vett részt")</f>
        <v>nem vett részt</v>
      </c>
      <c r="I26" s="20" t="str">
        <f>IFERROR(VLOOKUP(A26,'2026.05.9-10 20 órás páros'!A:F,4,0),"-")</f>
        <v>-</v>
      </c>
      <c r="J26" s="20" t="str">
        <f>IFERROR(VLOOKUP(A26,'2026.05.9-10 20 órás páros'!A:G,2,0),"-")</f>
        <v>-</v>
      </c>
      <c r="K26" s="20" t="str">
        <f>IFERROR(VLOOKUP(A26,'2026.05.9-10 20 órás páros'!A:H,8,0),"-")</f>
        <v>-</v>
      </c>
      <c r="L26" s="20" t="str">
        <f>IFERROR(VLOOKUP(A26,'2026.05.9-10 20 órás páros'!A:I,5,0),"-")</f>
        <v>-</v>
      </c>
      <c r="M26" s="20">
        <f>IFERROR(VLOOKUP(A26,'2026.05.9-10 20 órás páros'!A:I,6,0),25)</f>
        <v>25</v>
      </c>
      <c r="N26" s="14">
        <f>IFERROR(VLOOKUP(A26,'2026.06.07 nyári egyéni'!A:D,3,0),"nem vett részt")</f>
        <v>32.01</v>
      </c>
      <c r="O26" s="33">
        <f>IFERROR(VLOOKUP(A26,'2026.06.07 nyári egyéni'!A:AB,4,0),"-")</f>
        <v>15</v>
      </c>
      <c r="P26" s="33">
        <f>IFERROR(VLOOKUP(A26,'2026.06.07 nyári egyéni'!A:AC,2,0),"-")</f>
        <v>17</v>
      </c>
      <c r="Q26" s="33" t="str">
        <f>IFERROR(VLOOKUP(A26,'2026.06.07 nyári egyéni'!A:AD,8,0),"-")</f>
        <v>B</v>
      </c>
      <c r="R26" s="33" t="str">
        <f>IFERROR(VLOOKUP(A26,'2026.06.07 nyári egyéni'!A:G,5,0),"-")</f>
        <v>egyéni</v>
      </c>
      <c r="S26" s="20">
        <f>IFERROR(VLOOKUP(A26,'2026.06.07 nyári egyéni'!A:G,6,0),25)</f>
        <v>10</v>
      </c>
      <c r="T26" s="23" t="str">
        <f>IFERROR(VLOOKUP(A26,'2026.08.8-9. éjszakai páros'!A:H,2,0),"nem vett részt")</f>
        <v>nem vett részt</v>
      </c>
      <c r="U26" s="23" t="str">
        <f>IFERROR(VLOOKUP(A26,'2026.08.8-9. éjszakai páros'!A:I,3,0),"-")</f>
        <v>-</v>
      </c>
      <c r="V26" s="23" t="str">
        <f>IFERROR(VLOOKUP(A26,'2026.08.8-9. éjszakai páros'!A:J,4,0),"-")</f>
        <v>-</v>
      </c>
      <c r="W26" s="23" t="str">
        <f>IFERROR(VLOOKUP(A26,'2026.08.8-9. éjszakai páros'!A:H,5,0),"-")</f>
        <v>-</v>
      </c>
      <c r="X26" s="23" t="str">
        <f>IFERROR(VLOOKUP(A26,'2026.08.8-9. éjszakai páros'!A:H,6,0),"-")</f>
        <v>-</v>
      </c>
      <c r="Y26" s="33">
        <f>IFERROR(VLOOKUP(A26,'2026.08.8-9. éjszakai páros'!A:H,8,0),25)</f>
        <v>25</v>
      </c>
      <c r="Z26" s="23" t="str">
        <f>IFERROR(VLOOKUP(A26,'2026.09.20. évzáró egyéni'!A:H,2,0),"nem vett részt")</f>
        <v>nem vett részt</v>
      </c>
      <c r="AA26" s="23" t="str">
        <f>IFERROR(VLOOKUP(A26,'2026.09.20. évzáró egyéni'!A:I,3,0),"-")</f>
        <v>-</v>
      </c>
      <c r="AB26" s="23" t="str">
        <f>IFERROR(VLOOKUP(A26,'2026.09.20. évzáró egyéni'!A:H,4,0),"-")</f>
        <v>-</v>
      </c>
      <c r="AC26" s="23" t="str">
        <f>IFERROR(VLOOKUP(A26,'2026.09.20. évzáró egyéni'!A:H,5,0),"-")</f>
        <v>-</v>
      </c>
      <c r="AD26" s="23" t="str">
        <f>IFERROR(VLOOKUP(A26,'2026.09.20. évzáró egyéni'!A:H,6,0),"-")</f>
        <v>-</v>
      </c>
      <c r="AE26" s="33">
        <f>IFERROR(VLOOKUP(A26,'2026.09.20. évzáró egyéni'!A:H,7,0),25)</f>
        <v>25</v>
      </c>
      <c r="AF26" s="3">
        <f>SUM(B26,H26,N26,T26,Z26)</f>
        <v>49.519999999999996</v>
      </c>
      <c r="AG26" s="20">
        <f>SUM(C26,I26,O26,U26,AA26)</f>
        <v>33</v>
      </c>
      <c r="AH26" s="20">
        <f>VLOOKUP(A26,'helyezési sorrend'!A:J,10,0)</f>
        <v>43</v>
      </c>
      <c r="AI26" s="9" t="str">
        <f>_xlfn.TEXTJOIN(" ",0,COUNT(B26,H26,N26,T26,Z26),"verseny")</f>
        <v>2 verseny</v>
      </c>
      <c r="AK26">
        <v>25</v>
      </c>
      <c r="AL26" s="21" t="s">
        <v>16</v>
      </c>
      <c r="AM26" s="39">
        <f>IFERROR(VLOOKUP(AL26,A:AI,34,0),"-")</f>
        <v>58</v>
      </c>
      <c r="AN26" s="30">
        <f>IFERROR(VLOOKUP(AL26,A:AI,32,0),"-")</f>
        <v>14.120000000000001</v>
      </c>
      <c r="AO26" s="31">
        <f>IFERROR(VLOOKUP(AL26,A:AI,33,0),"-")</f>
        <v>19</v>
      </c>
      <c r="AP26" s="1" t="str">
        <f>IFERROR(VLOOKUP(AL26,A:AI,35,0),"-")</f>
        <v>2 verseny</v>
      </c>
    </row>
    <row r="27" spans="1:42" x14ac:dyDescent="0.25">
      <c r="A27" s="25" t="s">
        <v>81</v>
      </c>
      <c r="B27" s="18" t="str">
        <f>IFERROR(VLOOKUP(A27,'2026.03.29 évnyitó egyéni'!A:G,3,0),"nem vett részt")</f>
        <v>nem vett részt</v>
      </c>
      <c r="C27" s="20" t="str">
        <f>IFERROR(VLOOKUP(A27,'2026.03.29 évnyitó egyéni'!A:G,4,0),"-")</f>
        <v>-</v>
      </c>
      <c r="D27" s="20" t="str">
        <f>IFERROR(VLOOKUP(A27,'2026.03.29 évnyitó egyéni'!A:G,2,0),"-")</f>
        <v>-</v>
      </c>
      <c r="E27" s="20" t="str">
        <f>IFERROR(VLOOKUP(A27,'2026.03.29 évnyitó egyéni'!A:H,8,0),"-")</f>
        <v>-</v>
      </c>
      <c r="F27" s="18" t="str">
        <f>IFERROR(VLOOKUP(A27,'2026.03.29 évnyitó egyéni'!A:G,5,0),"-")</f>
        <v>-</v>
      </c>
      <c r="G27" s="15">
        <f>IFERROR(VLOOKUP(A27,'2026.03.29 évnyitó egyéni'!A:G,7,0),25)</f>
        <v>25</v>
      </c>
      <c r="H27" s="18">
        <f>IFERROR(VLOOKUP(A27,'2026.05.9-10 20 órás páros'!A:C,3,0),"nem vett részt")</f>
        <v>81.58</v>
      </c>
      <c r="I27" s="20">
        <f>IFERROR(VLOOKUP(A27,'2026.05.9-10 20 órás páros'!A:F,4,0),"-")</f>
        <v>28</v>
      </c>
      <c r="J27" s="20">
        <f>IFERROR(VLOOKUP(A27,'2026.05.9-10 20 órás páros'!A:G,2,0),"-")</f>
        <v>30</v>
      </c>
      <c r="K27" s="20" t="str">
        <f>IFERROR(VLOOKUP(A27,'2026.05.9-10 20 órás páros'!A:H,8,0),"-")</f>
        <v>B</v>
      </c>
      <c r="L27" s="20" t="str">
        <f>IFERROR(VLOOKUP(A27,'2026.05.9-10 20 órás páros'!A:I,5,0),"-")</f>
        <v>páros</v>
      </c>
      <c r="M27" s="20">
        <f>IFERROR(VLOOKUP(A27,'2026.05.9-10 20 órás páros'!A:I,6,0),25)</f>
        <v>5</v>
      </c>
      <c r="N27" s="14" t="str">
        <f>IFERROR(VLOOKUP(A27,'2026.06.07 nyári egyéni'!A:D,3,0),"nem vett részt")</f>
        <v>nem vett részt</v>
      </c>
      <c r="O27" s="33" t="str">
        <f>IFERROR(VLOOKUP(A27,'2026.06.07 nyári egyéni'!A:AB,4,0),"-")</f>
        <v>-</v>
      </c>
      <c r="P27" s="33" t="str">
        <f>IFERROR(VLOOKUP(A27,'2026.06.07 nyári egyéni'!A:AC,2,0),"-")</f>
        <v>-</v>
      </c>
      <c r="Q27" s="33" t="str">
        <f>IFERROR(VLOOKUP(A27,'2026.06.07 nyári egyéni'!A:AD,8,0),"-")</f>
        <v>-</v>
      </c>
      <c r="R27" s="33" t="str">
        <f>IFERROR(VLOOKUP(A27,'2026.06.07 nyári egyéni'!A:G,5,0),"-")</f>
        <v>-</v>
      </c>
      <c r="S27" s="20">
        <f>IFERROR(VLOOKUP(A27,'2026.06.07 nyári egyéni'!A:G,6,0),25)</f>
        <v>25</v>
      </c>
      <c r="T27" s="23" t="str">
        <f>IFERROR(VLOOKUP(A27,'2026.08.8-9. éjszakai páros'!A:H,2,0),"nem vett részt")</f>
        <v>nem vett részt</v>
      </c>
      <c r="U27" s="23" t="str">
        <f>IFERROR(VLOOKUP(A27,'2026.08.8-9. éjszakai páros'!A:I,3,0),"-")</f>
        <v>-</v>
      </c>
      <c r="V27" s="23" t="str">
        <f>IFERROR(VLOOKUP(A27,'2026.08.8-9. éjszakai páros'!A:J,4,0),"-")</f>
        <v>-</v>
      </c>
      <c r="W27" s="23" t="str">
        <f>IFERROR(VLOOKUP(A27,'2026.08.8-9. éjszakai páros'!A:H,5,0),"-")</f>
        <v>-</v>
      </c>
      <c r="X27" s="23" t="str">
        <f>IFERROR(VLOOKUP(A27,'2026.08.8-9. éjszakai páros'!A:H,6,0),"-")</f>
        <v>-</v>
      </c>
      <c r="Y27" s="33">
        <f>IFERROR(VLOOKUP(A27,'2026.08.8-9. éjszakai páros'!A:H,8,0),25)</f>
        <v>25</v>
      </c>
      <c r="Z27" s="23" t="str">
        <f>IFERROR(VLOOKUP(A27,'2026.09.20. évzáró egyéni'!A:H,2,0),"nem vett részt")</f>
        <v>nem vett részt</v>
      </c>
      <c r="AA27" s="23" t="str">
        <f>IFERROR(VLOOKUP(A27,'2026.09.20. évzáró egyéni'!A:I,3,0),"-")</f>
        <v>-</v>
      </c>
      <c r="AB27" s="23" t="str">
        <f>IFERROR(VLOOKUP(A27,'2026.09.20. évzáró egyéni'!A:H,4,0),"-")</f>
        <v>-</v>
      </c>
      <c r="AC27" s="23" t="str">
        <f>IFERROR(VLOOKUP(A27,'2026.09.20. évzáró egyéni'!A:H,5,0),"-")</f>
        <v>-</v>
      </c>
      <c r="AD27" s="23" t="str">
        <f>IFERROR(VLOOKUP(A27,'2026.09.20. évzáró egyéni'!A:H,6,0),"-")</f>
        <v>-</v>
      </c>
      <c r="AE27" s="33">
        <f>IFERROR(VLOOKUP(A27,'2026.09.20. évzáró egyéni'!A:H,7,0),25)</f>
        <v>25</v>
      </c>
      <c r="AF27" s="3">
        <f>SUM(B27,H27,N27,T27,Z27)</f>
        <v>81.58</v>
      </c>
      <c r="AG27" s="20">
        <f>SUM(C27,I27,O27,U27,AA27)</f>
        <v>28</v>
      </c>
      <c r="AH27" s="20">
        <f>VLOOKUP(A27,'helyezési sorrend'!A:J,10,0)</f>
        <v>55</v>
      </c>
      <c r="AI27" s="9" t="str">
        <f>_xlfn.TEXTJOIN(" ",0,COUNT(B27,H27,N27,T27,Z27),"verseny")</f>
        <v>1 verseny</v>
      </c>
      <c r="AK27">
        <v>26</v>
      </c>
      <c r="AL27" s="29" t="s">
        <v>97</v>
      </c>
      <c r="AM27" s="39">
        <f>IFERROR(VLOOKUP(AL27,A:AI,34,0),"-")</f>
        <v>58</v>
      </c>
      <c r="AN27" s="30">
        <f>IFERROR(VLOOKUP(AL27,A:AI,32,0),"-")</f>
        <v>19.899999999999999</v>
      </c>
      <c r="AO27" s="31">
        <f>IFERROR(VLOOKUP(AL27,A:AI,33,0),"-")</f>
        <v>15</v>
      </c>
      <c r="AP27" s="1" t="str">
        <f>IFERROR(VLOOKUP(AL27,A:AI,35,0),"-")</f>
        <v>1 verseny</v>
      </c>
    </row>
    <row r="28" spans="1:42" x14ac:dyDescent="0.25">
      <c r="A28" s="25" t="s">
        <v>100</v>
      </c>
      <c r="B28" s="18" t="str">
        <f>IFERROR(VLOOKUP(A28,'2026.03.29 évnyitó egyéni'!A:G,3,0),"nem vett részt")</f>
        <v>nem vett részt</v>
      </c>
      <c r="C28" s="20" t="str">
        <f>IFERROR(VLOOKUP(A28,'2026.03.29 évnyitó egyéni'!A:G,4,0),"-")</f>
        <v>-</v>
      </c>
      <c r="D28" s="20" t="str">
        <f>IFERROR(VLOOKUP(A28,'2026.03.29 évnyitó egyéni'!A:G,2,0),"-")</f>
        <v>-</v>
      </c>
      <c r="E28" s="20" t="str">
        <f>IFERROR(VLOOKUP(A28,'2026.03.29 évnyitó egyéni'!A:H,8,0),"-")</f>
        <v>-</v>
      </c>
      <c r="F28" s="18" t="str">
        <f>IFERROR(VLOOKUP(A28,'2026.03.29 évnyitó egyéni'!A:G,5,0),"-")</f>
        <v>-</v>
      </c>
      <c r="G28" s="15">
        <f>IFERROR(VLOOKUP(A28,'2026.03.29 évnyitó egyéni'!A:G,7,0),25)</f>
        <v>25</v>
      </c>
      <c r="H28" s="18">
        <f>IFERROR(VLOOKUP(A28,'2026.05.9-10 20 órás páros'!A:C,3,0),"nem vett részt")</f>
        <v>82.11999999999999</v>
      </c>
      <c r="I28" s="20">
        <f>IFERROR(VLOOKUP(A28,'2026.05.9-10 20 órás páros'!A:F,4,0),"-")</f>
        <v>25</v>
      </c>
      <c r="J28" s="20" t="str">
        <f>IFERROR(VLOOKUP(A28,'2026.05.9-10 20 órás páros'!A:G,2,0),"-")</f>
        <v>61/a</v>
      </c>
      <c r="K28" s="20" t="str">
        <f>IFERROR(VLOOKUP(A28,'2026.05.9-10 20 órás páros'!A:H,8,0),"-")</f>
        <v>A</v>
      </c>
      <c r="L28" s="20" t="str">
        <f>IFERROR(VLOOKUP(A28,'2026.05.9-10 20 órás páros'!A:I,5,0),"-")</f>
        <v>páros</v>
      </c>
      <c r="M28" s="20">
        <f>IFERROR(VLOOKUP(A28,'2026.05.9-10 20 órás páros'!A:I,6,0),25)</f>
        <v>2</v>
      </c>
      <c r="N28" s="14">
        <f>IFERROR(VLOOKUP(A28,'2026.06.07 nyári egyéni'!A:D,3,0),"nem vett részt")</f>
        <v>27.04</v>
      </c>
      <c r="O28" s="33">
        <f>IFERROR(VLOOKUP(A28,'2026.06.07 nyári egyéni'!A:AB,4,0),"-")</f>
        <v>16</v>
      </c>
      <c r="P28" s="33">
        <f>IFERROR(VLOOKUP(A28,'2026.06.07 nyári egyéni'!A:AC,2,0),"-")</f>
        <v>29</v>
      </c>
      <c r="Q28" s="33" t="str">
        <f>IFERROR(VLOOKUP(A28,'2026.06.07 nyári egyéni'!A:AD,8,0),"-")</f>
        <v>C</v>
      </c>
      <c r="R28" s="33" t="str">
        <f>IFERROR(VLOOKUP(A28,'2026.06.07 nyári egyéni'!A:G,5,0),"-")</f>
        <v>egyéni</v>
      </c>
      <c r="S28" s="20">
        <f>IFERROR(VLOOKUP(A28,'2026.06.07 nyári egyéni'!A:G,6,0),25)</f>
        <v>8</v>
      </c>
      <c r="T28" s="23" t="str">
        <f>IFERROR(VLOOKUP(A28,'2026.08.8-9. éjszakai páros'!A:H,2,0),"nem vett részt")</f>
        <v>nem vett részt</v>
      </c>
      <c r="U28" s="23" t="str">
        <f>IFERROR(VLOOKUP(A28,'2026.08.8-9. éjszakai páros'!A:I,3,0),"-")</f>
        <v>-</v>
      </c>
      <c r="V28" s="23" t="str">
        <f>IFERROR(VLOOKUP(A28,'2026.08.8-9. éjszakai páros'!A:J,4,0),"-")</f>
        <v>-</v>
      </c>
      <c r="W28" s="23" t="str">
        <f>IFERROR(VLOOKUP(A28,'2026.08.8-9. éjszakai páros'!A:H,5,0),"-")</f>
        <v>-</v>
      </c>
      <c r="X28" s="23" t="str">
        <f>IFERROR(VLOOKUP(A28,'2026.08.8-9. éjszakai páros'!A:H,6,0),"-")</f>
        <v>-</v>
      </c>
      <c r="Y28" s="33">
        <f>IFERROR(VLOOKUP(A28,'2026.08.8-9. éjszakai páros'!A:H,8,0),25)</f>
        <v>25</v>
      </c>
      <c r="Z28" s="23" t="str">
        <f>IFERROR(VLOOKUP(A28,'2026.09.20. évzáró egyéni'!A:H,2,0),"nem vett részt")</f>
        <v>nem vett részt</v>
      </c>
      <c r="AA28" s="23" t="str">
        <f>IFERROR(VLOOKUP(A28,'2026.09.20. évzáró egyéni'!A:I,3,0),"-")</f>
        <v>-</v>
      </c>
      <c r="AB28" s="23" t="str">
        <f>IFERROR(VLOOKUP(A28,'2026.09.20. évzáró egyéni'!A:H,4,0),"-")</f>
        <v>-</v>
      </c>
      <c r="AC28" s="23" t="str">
        <f>IFERROR(VLOOKUP(A28,'2026.09.20. évzáró egyéni'!A:H,5,0),"-")</f>
        <v>-</v>
      </c>
      <c r="AD28" s="23" t="str">
        <f>IFERROR(VLOOKUP(A28,'2026.09.20. évzáró egyéni'!A:H,6,0),"-")</f>
        <v>-</v>
      </c>
      <c r="AE28" s="33">
        <f>IFERROR(VLOOKUP(A28,'2026.09.20. évzáró egyéni'!A:H,7,0),25)</f>
        <v>25</v>
      </c>
      <c r="AF28" s="3">
        <f>SUM(B28,H28,N28,T28,Z28)</f>
        <v>109.16</v>
      </c>
      <c r="AG28" s="20">
        <f>SUM(C28,I28,O28,U28,AA28)</f>
        <v>41</v>
      </c>
      <c r="AH28" s="20">
        <f>VLOOKUP(A28,'helyezési sorrend'!A:J,10,0)</f>
        <v>35</v>
      </c>
      <c r="AI28" s="9" t="str">
        <f>_xlfn.TEXTJOIN(" ",0,COUNT(B28,H28,N28,T28,Z28),"verseny")</f>
        <v>2 verseny</v>
      </c>
      <c r="AK28">
        <v>27</v>
      </c>
      <c r="AL28" s="21" t="s">
        <v>82</v>
      </c>
      <c r="AM28" s="39">
        <f>IFERROR(VLOOKUP(AL28,A:AI,34,0),"-")</f>
        <v>58</v>
      </c>
      <c r="AN28" s="30">
        <f>IFERROR(VLOOKUP(AL28,A:AI,32,0),"-")</f>
        <v>31.569999999999997</v>
      </c>
      <c r="AO28" s="31">
        <f>IFERROR(VLOOKUP(AL28,A:AI,33,0),"-")</f>
        <v>20</v>
      </c>
      <c r="AP28" s="1" t="str">
        <f>IFERROR(VLOOKUP(AL28,A:AI,35,0),"-")</f>
        <v>2 verseny</v>
      </c>
    </row>
    <row r="29" spans="1:42" x14ac:dyDescent="0.25">
      <c r="A29" s="25" t="s">
        <v>31</v>
      </c>
      <c r="B29" s="18">
        <f>IFERROR(VLOOKUP(A29,'2026.03.29 évnyitó egyéni'!A:G,3,0),"nem vett részt")</f>
        <v>0</v>
      </c>
      <c r="C29" s="20">
        <f>IFERROR(VLOOKUP(A29,'2026.03.29 évnyitó egyéni'!A:G,4,0),"-")</f>
        <v>0</v>
      </c>
      <c r="D29" s="20">
        <f>IFERROR(VLOOKUP(A29,'2026.03.29 évnyitó egyéni'!A:G,2,0),"-")</f>
        <v>37</v>
      </c>
      <c r="E29" s="20" t="str">
        <f>IFERROR(VLOOKUP(A29,'2026.03.29 évnyitó egyéni'!A:H,8,0),"-")</f>
        <v>C</v>
      </c>
      <c r="F29" s="18" t="str">
        <f>IFERROR(VLOOKUP(A29,'2026.03.29 évnyitó egyéni'!A:G,5,0),"-")</f>
        <v>egyéni</v>
      </c>
      <c r="G29" s="15">
        <f>IFERROR(VLOOKUP(A29,'2026.03.29 évnyitó egyéni'!A:G,7,0),25)</f>
        <v>17</v>
      </c>
      <c r="H29" s="18">
        <f>IFERROR(VLOOKUP(A29,'2026.05.9-10 20 órás páros'!A:C,3,0),"nem vett részt")</f>
        <v>76.429999999999993</v>
      </c>
      <c r="I29" s="20">
        <f>IFERROR(VLOOKUP(A29,'2026.05.9-10 20 órás páros'!A:F,4,0),"-")</f>
        <v>25</v>
      </c>
      <c r="J29" s="20">
        <f>IFERROR(VLOOKUP(A29,'2026.05.9-10 20 órás páros'!A:G,2,0),"-")</f>
        <v>21</v>
      </c>
      <c r="K29" s="20" t="str">
        <f>IFERROR(VLOOKUP(A29,'2026.05.9-10 20 órás páros'!A:H,8,0),"-")</f>
        <v>B</v>
      </c>
      <c r="L29" s="20" t="str">
        <f>IFERROR(VLOOKUP(A29,'2026.05.9-10 20 órás páros'!A:I,5,0),"-")</f>
        <v>páros</v>
      </c>
      <c r="M29" s="20">
        <f>IFERROR(VLOOKUP(A29,'2026.05.9-10 20 órás páros'!A:I,6,0),25)</f>
        <v>4</v>
      </c>
      <c r="N29" s="14">
        <f>IFERROR(VLOOKUP(A29,'2026.06.07 nyári egyéni'!A:D,3,0),"nem vett részt")</f>
        <v>48.86</v>
      </c>
      <c r="O29" s="33">
        <f>IFERROR(VLOOKUP(A29,'2026.06.07 nyári egyéni'!A:AB,4,0),"-")</f>
        <v>27</v>
      </c>
      <c r="P29" s="33">
        <f>IFERROR(VLOOKUP(A29,'2026.06.07 nyári egyéni'!A:AC,2,0),"-")</f>
        <v>5</v>
      </c>
      <c r="Q29" s="33" t="str">
        <f>IFERROR(VLOOKUP(A29,'2026.06.07 nyári egyéni'!A:AD,8,0),"-")</f>
        <v>A</v>
      </c>
      <c r="R29" s="33" t="str">
        <f>IFERROR(VLOOKUP(A29,'2026.06.07 nyári egyéni'!A:G,5,0),"-")</f>
        <v>egyéni</v>
      </c>
      <c r="S29" s="20">
        <f>IFERROR(VLOOKUP(A29,'2026.06.07 nyári egyéni'!A:G,6,0),25)</f>
        <v>4</v>
      </c>
      <c r="T29" s="23" t="str">
        <f>IFERROR(VLOOKUP(A29,'2026.08.8-9. éjszakai páros'!A:H,2,0),"nem vett részt")</f>
        <v>nem vett részt</v>
      </c>
      <c r="U29" s="23" t="str">
        <f>IFERROR(VLOOKUP(A29,'2026.08.8-9. éjszakai páros'!A:I,3,0),"-")</f>
        <v>-</v>
      </c>
      <c r="V29" s="23" t="str">
        <f>IFERROR(VLOOKUP(A29,'2026.08.8-9. éjszakai páros'!A:J,4,0),"-")</f>
        <v>-</v>
      </c>
      <c r="W29" s="23" t="str">
        <f>IFERROR(VLOOKUP(A29,'2026.08.8-9. éjszakai páros'!A:H,5,0),"-")</f>
        <v>-</v>
      </c>
      <c r="X29" s="23" t="str">
        <f>IFERROR(VLOOKUP(A29,'2026.08.8-9. éjszakai páros'!A:H,6,0),"-")</f>
        <v>-</v>
      </c>
      <c r="Y29" s="33">
        <f>IFERROR(VLOOKUP(A29,'2026.08.8-9. éjszakai páros'!A:H,8,0),25)</f>
        <v>25</v>
      </c>
      <c r="Z29" s="23" t="str">
        <f>IFERROR(VLOOKUP(A29,'2026.09.20. évzáró egyéni'!A:H,2,0),"nem vett részt")</f>
        <v>nem vett részt</v>
      </c>
      <c r="AA29" s="23" t="str">
        <f>IFERROR(VLOOKUP(A29,'2026.09.20. évzáró egyéni'!A:I,3,0),"-")</f>
        <v>-</v>
      </c>
      <c r="AB29" s="23" t="str">
        <f>IFERROR(VLOOKUP(A29,'2026.09.20. évzáró egyéni'!A:H,4,0),"-")</f>
        <v>-</v>
      </c>
      <c r="AC29" s="23" t="str">
        <f>IFERROR(VLOOKUP(A29,'2026.09.20. évzáró egyéni'!A:H,5,0),"-")</f>
        <v>-</v>
      </c>
      <c r="AD29" s="23" t="str">
        <f>IFERROR(VLOOKUP(A29,'2026.09.20. évzáró egyéni'!A:H,6,0),"-")</f>
        <v>-</v>
      </c>
      <c r="AE29" s="33">
        <f>IFERROR(VLOOKUP(A29,'2026.09.20. évzáró egyéni'!A:H,7,0),25)</f>
        <v>25</v>
      </c>
      <c r="AF29" s="3">
        <f>SUM(B29,H29,N29,T29,Z29)</f>
        <v>125.28999999999999</v>
      </c>
      <c r="AG29" s="20">
        <f>SUM(C29,I29,O29,U29,AA29)</f>
        <v>52</v>
      </c>
      <c r="AH29" s="20">
        <f>VLOOKUP(A29,'helyezési sorrend'!A:J,10,0)</f>
        <v>25</v>
      </c>
      <c r="AI29" s="9" t="str">
        <f>_xlfn.TEXTJOIN(" ",0,COUNT(B29,H29,N29,T29,Z29),"verseny")</f>
        <v>3 verseny</v>
      </c>
      <c r="AK29">
        <v>28</v>
      </c>
      <c r="AL29" s="29" t="s">
        <v>103</v>
      </c>
      <c r="AM29" s="39">
        <f>IFERROR(VLOOKUP(AL29,A:AI,34,0),"-")</f>
        <v>60</v>
      </c>
      <c r="AN29" s="30">
        <f>IFERROR(VLOOKUP(AL29,A:AI,32,0),"-")</f>
        <v>4.3499999999999996</v>
      </c>
      <c r="AO29" s="31">
        <f>IFERROR(VLOOKUP(AL29,A:AI,33,0),"-")</f>
        <v>1</v>
      </c>
      <c r="AP29" s="1" t="str">
        <f>IFERROR(VLOOKUP(AL29,A:AI,35,0),"-")</f>
        <v>1 verseny</v>
      </c>
    </row>
    <row r="30" spans="1:42" x14ac:dyDescent="0.25">
      <c r="A30" s="25" t="s">
        <v>8</v>
      </c>
      <c r="B30" s="18">
        <f>IFERROR(VLOOKUP(A30,'2026.03.29 évnyitó egyéni'!A:G,3,0),"nem vett részt")</f>
        <v>20.68</v>
      </c>
      <c r="C30" s="20">
        <f>IFERROR(VLOOKUP(A30,'2026.03.29 évnyitó egyéni'!A:G,4,0),"-")</f>
        <v>6</v>
      </c>
      <c r="D30" s="20">
        <f>IFERROR(VLOOKUP(A30,'2026.03.29 évnyitó egyéni'!A:G,2,0),"-")</f>
        <v>12</v>
      </c>
      <c r="E30" s="20" t="str">
        <f>IFERROR(VLOOKUP(A30,'2026.03.29 évnyitó egyéni'!A:H,8,0),"-")</f>
        <v>A</v>
      </c>
      <c r="F30" s="18" t="str">
        <f>IFERROR(VLOOKUP(A30,'2026.03.29 évnyitó egyéni'!A:G,5,0),"-")</f>
        <v>egyéni</v>
      </c>
      <c r="G30" s="15">
        <f>IFERROR(VLOOKUP(A30,'2026.03.29 évnyitó egyéni'!A:G,7,0),25)</f>
        <v>7</v>
      </c>
      <c r="H30" s="18" t="str">
        <f>IFERROR(VLOOKUP(A30,'2026.05.9-10 20 órás páros'!A:C,3,0),"nem vett részt")</f>
        <v>nem vett részt</v>
      </c>
      <c r="I30" s="20" t="str">
        <f>IFERROR(VLOOKUP(A30,'2026.05.9-10 20 órás páros'!A:F,4,0),"-")</f>
        <v>-</v>
      </c>
      <c r="J30" s="20" t="str">
        <f>IFERROR(VLOOKUP(A30,'2026.05.9-10 20 órás páros'!A:G,2,0),"-")</f>
        <v>-</v>
      </c>
      <c r="K30" s="20" t="str">
        <f>IFERROR(VLOOKUP(A30,'2026.05.9-10 20 órás páros'!A:H,8,0),"-")</f>
        <v>-</v>
      </c>
      <c r="L30" s="20" t="str">
        <f>IFERROR(VLOOKUP(A30,'2026.05.9-10 20 órás páros'!A:I,5,0),"-")</f>
        <v>-</v>
      </c>
      <c r="M30" s="20">
        <f>IFERROR(VLOOKUP(A30,'2026.05.9-10 20 órás páros'!A:I,6,0),25)</f>
        <v>25</v>
      </c>
      <c r="N30" s="14">
        <f>IFERROR(VLOOKUP(A30,'2026.06.07 nyári egyéni'!A:D,3,0),"nem vett részt")</f>
        <v>24.22</v>
      </c>
      <c r="O30" s="33">
        <f>IFERROR(VLOOKUP(A30,'2026.06.07 nyári egyéni'!A:AB,4,0),"-")</f>
        <v>14</v>
      </c>
      <c r="P30" s="33">
        <f>IFERROR(VLOOKUP(A30,'2026.06.07 nyári egyéni'!A:AC,2,0),"-")</f>
        <v>10</v>
      </c>
      <c r="Q30" s="33" t="str">
        <f>IFERROR(VLOOKUP(A30,'2026.06.07 nyári egyéni'!A:AD,8,0),"-")</f>
        <v>A</v>
      </c>
      <c r="R30" s="33" t="str">
        <f>IFERROR(VLOOKUP(A30,'2026.06.07 nyári egyéni'!A:G,5,0),"-")</f>
        <v>egyéni</v>
      </c>
      <c r="S30" s="20">
        <f>IFERROR(VLOOKUP(A30,'2026.06.07 nyári egyéni'!A:G,6,0),25)</f>
        <v>9</v>
      </c>
      <c r="T30" s="23" t="str">
        <f>IFERROR(VLOOKUP(A30,'2026.08.8-9. éjszakai páros'!A:H,2,0),"nem vett részt")</f>
        <v>nem vett részt</v>
      </c>
      <c r="U30" s="23" t="str">
        <f>IFERROR(VLOOKUP(A30,'2026.08.8-9. éjszakai páros'!A:I,3,0),"-")</f>
        <v>-</v>
      </c>
      <c r="V30" s="23" t="str">
        <f>IFERROR(VLOOKUP(A30,'2026.08.8-9. éjszakai páros'!A:J,4,0),"-")</f>
        <v>-</v>
      </c>
      <c r="W30" s="23" t="str">
        <f>IFERROR(VLOOKUP(A30,'2026.08.8-9. éjszakai páros'!A:H,5,0),"-")</f>
        <v>-</v>
      </c>
      <c r="X30" s="23" t="str">
        <f>IFERROR(VLOOKUP(A30,'2026.08.8-9. éjszakai páros'!A:H,6,0),"-")</f>
        <v>-</v>
      </c>
      <c r="Y30" s="33">
        <f>IFERROR(VLOOKUP(A30,'2026.08.8-9. éjszakai páros'!A:H,8,0),25)</f>
        <v>25</v>
      </c>
      <c r="Z30" s="23" t="str">
        <f>IFERROR(VLOOKUP(A30,'2026.09.20. évzáró egyéni'!A:H,2,0),"nem vett részt")</f>
        <v>nem vett részt</v>
      </c>
      <c r="AA30" s="23" t="str">
        <f>IFERROR(VLOOKUP(A30,'2026.09.20. évzáró egyéni'!A:I,3,0),"-")</f>
        <v>-</v>
      </c>
      <c r="AB30" s="23" t="str">
        <f>IFERROR(VLOOKUP(A30,'2026.09.20. évzáró egyéni'!A:H,4,0),"-")</f>
        <v>-</v>
      </c>
      <c r="AC30" s="23" t="str">
        <f>IFERROR(VLOOKUP(A30,'2026.09.20. évzáró egyéni'!A:H,5,0),"-")</f>
        <v>-</v>
      </c>
      <c r="AD30" s="23" t="str">
        <f>IFERROR(VLOOKUP(A30,'2026.09.20. évzáró egyéni'!A:H,6,0),"-")</f>
        <v>-</v>
      </c>
      <c r="AE30" s="33">
        <f>IFERROR(VLOOKUP(A30,'2026.09.20. évzáró egyéni'!A:H,7,0),25)</f>
        <v>25</v>
      </c>
      <c r="AF30" s="3">
        <f>SUM(B30,H30,N30,T30,Z30)</f>
        <v>44.9</v>
      </c>
      <c r="AG30" s="20">
        <f>SUM(C30,I30,O30,U30,AA30)</f>
        <v>20</v>
      </c>
      <c r="AH30" s="20">
        <f>VLOOKUP(A30,'helyezési sorrend'!A:J,10,0)</f>
        <v>41</v>
      </c>
      <c r="AI30" s="9" t="str">
        <f>_xlfn.TEXTJOIN(" ",0,COUNT(B30,H30,N30,T30,Z30),"verseny")</f>
        <v>2 verseny</v>
      </c>
      <c r="AK30">
        <v>29</v>
      </c>
      <c r="AL30" s="21" t="s">
        <v>77</v>
      </c>
      <c r="AM30" s="39">
        <f>IFERROR(VLOOKUP(AL30,A:AI,34,0),"-")</f>
        <v>61</v>
      </c>
      <c r="AN30" s="30">
        <f>IFERROR(VLOOKUP(AL30,A:AI,32,0),"-")</f>
        <v>11.46</v>
      </c>
      <c r="AO30" s="31">
        <f>IFERROR(VLOOKUP(AL30,A:AI,33,0),"-")</f>
        <v>10</v>
      </c>
      <c r="AP30" s="1" t="str">
        <f>IFERROR(VLOOKUP(AL30,A:AI,35,0),"-")</f>
        <v>1 verseny</v>
      </c>
    </row>
    <row r="31" spans="1:42" x14ac:dyDescent="0.25">
      <c r="A31" s="25" t="s">
        <v>7</v>
      </c>
      <c r="B31" s="18">
        <f>IFERROR(VLOOKUP(A31,'2026.03.29 évnyitó egyéni'!A:G,3,0),"nem vett részt")</f>
        <v>24.439999999999998</v>
      </c>
      <c r="C31" s="20">
        <f>IFERROR(VLOOKUP(A31,'2026.03.29 évnyitó egyéni'!A:G,4,0),"-")</f>
        <v>26</v>
      </c>
      <c r="D31" s="20">
        <f>IFERROR(VLOOKUP(A31,'2026.03.29 évnyitó egyéni'!A:G,2,0),"-")</f>
        <v>31</v>
      </c>
      <c r="E31" s="20" t="str">
        <f>IFERROR(VLOOKUP(A31,'2026.03.29 évnyitó egyéni'!A:H,8,0),"-")</f>
        <v>C</v>
      </c>
      <c r="F31" s="18" t="str">
        <f>IFERROR(VLOOKUP(A31,'2026.03.29 évnyitó egyéni'!A:G,5,0),"-")</f>
        <v>egyéni</v>
      </c>
      <c r="G31" s="15">
        <f>IFERROR(VLOOKUP(A31,'2026.03.29 évnyitó egyéni'!A:G,7,0),25)</f>
        <v>5</v>
      </c>
      <c r="H31" s="18" t="str">
        <f>IFERROR(VLOOKUP(A31,'2026.05.9-10 20 órás páros'!A:C,3,0),"nem vett részt")</f>
        <v>nem vett részt</v>
      </c>
      <c r="I31" s="20" t="str">
        <f>IFERROR(VLOOKUP(A31,'2026.05.9-10 20 órás páros'!A:F,4,0),"-")</f>
        <v>-</v>
      </c>
      <c r="J31" s="20" t="str">
        <f>IFERROR(VLOOKUP(A31,'2026.05.9-10 20 órás páros'!A:G,2,0),"-")</f>
        <v>-</v>
      </c>
      <c r="K31" s="20" t="str">
        <f>IFERROR(VLOOKUP(A31,'2026.05.9-10 20 órás páros'!A:H,8,0),"-")</f>
        <v>-</v>
      </c>
      <c r="L31" s="20" t="str">
        <f>IFERROR(VLOOKUP(A31,'2026.05.9-10 20 órás páros'!A:I,5,0),"-")</f>
        <v>-</v>
      </c>
      <c r="M31" s="20">
        <f>IFERROR(VLOOKUP(A31,'2026.05.9-10 20 órás páros'!A:I,6,0),25)</f>
        <v>25</v>
      </c>
      <c r="N31" s="14">
        <f>IFERROR(VLOOKUP(A31,'2026.06.07 nyári egyéni'!A:D,3,0),"nem vett részt")</f>
        <v>29.03</v>
      </c>
      <c r="O31" s="33">
        <f>IFERROR(VLOOKUP(A31,'2026.06.07 nyári egyéni'!A:AB,4,0),"-")</f>
        <v>14</v>
      </c>
      <c r="P31" s="33">
        <f>IFERROR(VLOOKUP(A31,'2026.06.07 nyári egyéni'!A:AC,2,0),"-")</f>
        <v>32</v>
      </c>
      <c r="Q31" s="33" t="str">
        <f>IFERROR(VLOOKUP(A31,'2026.06.07 nyári egyéni'!A:AD,8,0),"-")</f>
        <v>C</v>
      </c>
      <c r="R31" s="33" t="str">
        <f>IFERROR(VLOOKUP(A31,'2026.06.07 nyári egyéni'!A:G,5,0),"-")</f>
        <v>egyéni</v>
      </c>
      <c r="S31" s="20">
        <f>IFERROR(VLOOKUP(A31,'2026.06.07 nyári egyéni'!A:G,6,0),25)</f>
        <v>6</v>
      </c>
      <c r="T31" s="23" t="str">
        <f>IFERROR(VLOOKUP(A31,'2026.08.8-9. éjszakai páros'!A:H,2,0),"nem vett részt")</f>
        <v>nem vett részt</v>
      </c>
      <c r="U31" s="23" t="str">
        <f>IFERROR(VLOOKUP(A31,'2026.08.8-9. éjszakai páros'!A:I,3,0),"-")</f>
        <v>-</v>
      </c>
      <c r="V31" s="23" t="str">
        <f>IFERROR(VLOOKUP(A31,'2026.08.8-9. éjszakai páros'!A:J,4,0),"-")</f>
        <v>-</v>
      </c>
      <c r="W31" s="23" t="str">
        <f>IFERROR(VLOOKUP(A31,'2026.08.8-9. éjszakai páros'!A:H,5,0),"-")</f>
        <v>-</v>
      </c>
      <c r="X31" s="23" t="str">
        <f>IFERROR(VLOOKUP(A31,'2026.08.8-9. éjszakai páros'!A:H,6,0),"-")</f>
        <v>-</v>
      </c>
      <c r="Y31" s="33">
        <f>IFERROR(VLOOKUP(A31,'2026.08.8-9. éjszakai páros'!A:H,8,0),25)</f>
        <v>25</v>
      </c>
      <c r="Z31" s="23" t="str">
        <f>IFERROR(VLOOKUP(A31,'2026.09.20. évzáró egyéni'!A:H,2,0),"nem vett részt")</f>
        <v>nem vett részt</v>
      </c>
      <c r="AA31" s="23" t="str">
        <f>IFERROR(VLOOKUP(A31,'2026.09.20. évzáró egyéni'!A:I,3,0),"-")</f>
        <v>-</v>
      </c>
      <c r="AB31" s="23" t="str">
        <f>IFERROR(VLOOKUP(A31,'2026.09.20. évzáró egyéni'!A:H,4,0),"-")</f>
        <v>-</v>
      </c>
      <c r="AC31" s="23" t="str">
        <f>IFERROR(VLOOKUP(A31,'2026.09.20. évzáró egyéni'!A:H,5,0),"-")</f>
        <v>-</v>
      </c>
      <c r="AD31" s="23" t="str">
        <f>IFERROR(VLOOKUP(A31,'2026.09.20. évzáró egyéni'!A:H,6,0),"-")</f>
        <v>-</v>
      </c>
      <c r="AE31" s="33">
        <f>IFERROR(VLOOKUP(A31,'2026.09.20. évzáró egyéni'!A:H,7,0),25)</f>
        <v>25</v>
      </c>
      <c r="AF31" s="3">
        <f>SUM(B31,H31,N31,T31,Z31)</f>
        <v>53.47</v>
      </c>
      <c r="AG31" s="20">
        <f>SUM(C31,I31,O31,U31,AA31)</f>
        <v>40</v>
      </c>
      <c r="AH31" s="20">
        <f>VLOOKUP(A31,'helyezési sorrend'!A:J,10,0)</f>
        <v>36</v>
      </c>
      <c r="AI31" s="9" t="str">
        <f>_xlfn.TEXTJOIN(" ",0,COUNT(B31,H31,N31,T31,Z31),"verseny")</f>
        <v>2 verseny</v>
      </c>
      <c r="AK31">
        <v>30</v>
      </c>
      <c r="AL31" s="21" t="s">
        <v>29</v>
      </c>
      <c r="AM31" s="39">
        <f>IFERROR(VLOOKUP(AL31,A:AI,34,0),"-")</f>
        <v>61</v>
      </c>
      <c r="AN31" s="30">
        <f>IFERROR(VLOOKUP(AL31,A:AI,32,0),"-")</f>
        <v>12.129999999999999</v>
      </c>
      <c r="AO31" s="31">
        <f>IFERROR(VLOOKUP(AL31,A:AI,33,0),"-")</f>
        <v>4</v>
      </c>
      <c r="AP31" s="1" t="str">
        <f>IFERROR(VLOOKUP(AL31,A:AI,35,0),"-")</f>
        <v>2 verseny</v>
      </c>
    </row>
    <row r="32" spans="1:42" x14ac:dyDescent="0.25">
      <c r="A32" s="25" t="s">
        <v>156</v>
      </c>
      <c r="B32" s="18" t="str">
        <f>IFERROR(VLOOKUP(A32,'2026.03.29 évnyitó egyéni'!A:G,3,0),"nem vett részt")</f>
        <v>nem vett részt</v>
      </c>
      <c r="C32" s="20" t="str">
        <f>IFERROR(VLOOKUP(A32,'2026.03.29 évnyitó egyéni'!A:G,4,0),"-")</f>
        <v>-</v>
      </c>
      <c r="D32" s="20" t="str">
        <f>IFERROR(VLOOKUP(A32,'2026.03.29 évnyitó egyéni'!A:G,2,0),"-")</f>
        <v>-</v>
      </c>
      <c r="E32" s="20" t="str">
        <f>IFERROR(VLOOKUP(A32,'2026.03.29 évnyitó egyéni'!A:H,8,0),"-")</f>
        <v>-</v>
      </c>
      <c r="F32" s="18" t="str">
        <f>IFERROR(VLOOKUP(A32,'2026.03.29 évnyitó egyéni'!A:G,5,0),"-")</f>
        <v>-</v>
      </c>
      <c r="G32" s="15">
        <f>IFERROR(VLOOKUP(A32,'2026.03.29 évnyitó egyéni'!A:G,7,0),25)</f>
        <v>25</v>
      </c>
      <c r="H32" s="18" t="str">
        <f>IFERROR(VLOOKUP(A32,'2026.05.9-10 20 órás páros'!A:C,3,0),"nem vett részt")</f>
        <v>nem vett részt</v>
      </c>
      <c r="I32" s="20" t="str">
        <f>IFERROR(VLOOKUP(A32,'2026.05.9-10 20 órás páros'!A:F,4,0),"-")</f>
        <v>-</v>
      </c>
      <c r="J32" s="20" t="str">
        <f>IFERROR(VLOOKUP(A32,'2026.05.9-10 20 órás páros'!A:G,2,0),"-")</f>
        <v>-</v>
      </c>
      <c r="K32" s="20" t="str">
        <f>IFERROR(VLOOKUP(A32,'2026.05.9-10 20 órás páros'!A:H,8,0),"-")</f>
        <v>-</v>
      </c>
      <c r="L32" s="20" t="str">
        <f>IFERROR(VLOOKUP(A32,'2026.05.9-10 20 órás páros'!A:I,5,0),"-")</f>
        <v>-</v>
      </c>
      <c r="M32" s="20">
        <f>IFERROR(VLOOKUP(A32,'2026.05.9-10 20 órás páros'!A:I,6,0),25)</f>
        <v>25</v>
      </c>
      <c r="N32" s="14">
        <f>IFERROR(VLOOKUP(A32,'2026.06.07 nyári egyéni'!A:D,3,0),"nem vett részt")</f>
        <v>32.43</v>
      </c>
      <c r="O32" s="33">
        <f>IFERROR(VLOOKUP(A32,'2026.06.07 nyári egyéni'!A:AB,4,0),"-")</f>
        <v>13</v>
      </c>
      <c r="P32" s="33">
        <f>IFERROR(VLOOKUP(A32,'2026.06.07 nyári egyéni'!A:AC,2,0),"-")</f>
        <v>37</v>
      </c>
      <c r="Q32" s="33" t="str">
        <f>IFERROR(VLOOKUP(A32,'2026.06.07 nyári egyéni'!A:AD,8,0),"-")</f>
        <v>C</v>
      </c>
      <c r="R32" s="33" t="str">
        <f>IFERROR(VLOOKUP(A32,'2026.06.07 nyári egyéni'!A:G,5,0),"-")</f>
        <v>egyéni</v>
      </c>
      <c r="S32" s="20">
        <f>IFERROR(VLOOKUP(A32,'2026.06.07 nyári egyéni'!A:G,6,0),25)</f>
        <v>3</v>
      </c>
      <c r="T32" s="23" t="str">
        <f>IFERROR(VLOOKUP(A32,'2026.08.8-9. éjszakai páros'!A:H,2,0),"nem vett részt")</f>
        <v>nem vett részt</v>
      </c>
      <c r="U32" s="23" t="str">
        <f>IFERROR(VLOOKUP(A32,'2026.08.8-9. éjszakai páros'!A:I,3,0),"-")</f>
        <v>-</v>
      </c>
      <c r="V32" s="23" t="str">
        <f>IFERROR(VLOOKUP(A32,'2026.08.8-9. éjszakai páros'!A:J,4,0),"-")</f>
        <v>-</v>
      </c>
      <c r="W32" s="23" t="str">
        <f>IFERROR(VLOOKUP(A32,'2026.08.8-9. éjszakai páros'!A:H,5,0),"-")</f>
        <v>-</v>
      </c>
      <c r="X32" s="23" t="str">
        <f>IFERROR(VLOOKUP(A32,'2026.08.8-9. éjszakai páros'!A:H,6,0),"-")</f>
        <v>-</v>
      </c>
      <c r="Y32" s="33">
        <f>IFERROR(VLOOKUP(A32,'2026.08.8-9. éjszakai páros'!A:H,8,0),25)</f>
        <v>25</v>
      </c>
      <c r="Z32" s="23" t="str">
        <f>IFERROR(VLOOKUP(A32,'2026.09.20. évzáró egyéni'!A:H,2,0),"nem vett részt")</f>
        <v>nem vett részt</v>
      </c>
      <c r="AA32" s="23" t="str">
        <f>IFERROR(VLOOKUP(A32,'2026.09.20. évzáró egyéni'!A:I,3,0),"-")</f>
        <v>-</v>
      </c>
      <c r="AB32" s="23" t="str">
        <f>IFERROR(VLOOKUP(A32,'2026.09.20. évzáró egyéni'!A:H,4,0),"-")</f>
        <v>-</v>
      </c>
      <c r="AC32" s="23" t="str">
        <f>IFERROR(VLOOKUP(A32,'2026.09.20. évzáró egyéni'!A:H,5,0),"-")</f>
        <v>-</v>
      </c>
      <c r="AD32" s="23" t="str">
        <f>IFERROR(VLOOKUP(A32,'2026.09.20. évzáró egyéni'!A:H,6,0),"-")</f>
        <v>-</v>
      </c>
      <c r="AE32" s="33">
        <f>IFERROR(VLOOKUP(A32,'2026.09.20. évzáró egyéni'!A:H,7,0),25)</f>
        <v>25</v>
      </c>
      <c r="AF32" s="3">
        <f>SUM(B32,H32,N32,T32,Z32)</f>
        <v>32.43</v>
      </c>
      <c r="AG32" s="20">
        <f>SUM(C32,I32,O32,U32,AA32)</f>
        <v>13</v>
      </c>
      <c r="AH32" s="20">
        <f>VLOOKUP(A32,'helyezési sorrend'!A:J,10,0)</f>
        <v>53</v>
      </c>
      <c r="AI32" s="9" t="str">
        <f>_xlfn.TEXTJOIN(" ",0,COUNT(B32,H32,N32,T32,Z32),"verseny")</f>
        <v>1 verseny</v>
      </c>
      <c r="AK32">
        <v>31</v>
      </c>
      <c r="AL32" s="29" t="s">
        <v>78</v>
      </c>
      <c r="AM32" s="39">
        <f>IFERROR(VLOOKUP(AL32,A:AI,34,0),"-")</f>
        <v>61</v>
      </c>
      <c r="AN32" s="30">
        <f>IFERROR(VLOOKUP(AL32,A:AI,32,0),"-")</f>
        <v>12.98</v>
      </c>
      <c r="AO32" s="31">
        <f>IFERROR(VLOOKUP(AL32,A:AI,33,0),"-")</f>
        <v>5</v>
      </c>
      <c r="AP32" s="1" t="str">
        <f>IFERROR(VLOOKUP(AL32,A:AI,35,0),"-")</f>
        <v>1 verseny</v>
      </c>
    </row>
    <row r="33" spans="1:42" x14ac:dyDescent="0.25">
      <c r="A33" s="25" t="s">
        <v>28</v>
      </c>
      <c r="B33" s="18">
        <f>IFERROR(VLOOKUP(A33,'2026.03.29 évnyitó egyéni'!A:G,3,0),"nem vett részt")</f>
        <v>26.240000000000002</v>
      </c>
      <c r="C33" s="20">
        <f>IFERROR(VLOOKUP(A33,'2026.03.29 évnyitó egyéni'!A:G,4,0),"-")</f>
        <v>15</v>
      </c>
      <c r="D33" s="20">
        <f>IFERROR(VLOOKUP(A33,'2026.03.29 évnyitó egyéni'!A:G,2,0),"-")</f>
        <v>27</v>
      </c>
      <c r="E33" s="20" t="str">
        <f>IFERROR(VLOOKUP(A33,'2026.03.29 évnyitó egyéni'!A:H,8,0),"-")</f>
        <v>C</v>
      </c>
      <c r="F33" s="18" t="str">
        <f>IFERROR(VLOOKUP(A33,'2026.03.29 évnyitó egyéni'!A:G,5,0),"-")</f>
        <v>egyéni</v>
      </c>
      <c r="G33" s="15">
        <f>IFERROR(VLOOKUP(A33,'2026.03.29 évnyitó egyéni'!A:G,7,0),25)</f>
        <v>4</v>
      </c>
      <c r="H33" s="18" t="str">
        <f>IFERROR(VLOOKUP(A33,'2026.05.9-10 20 órás páros'!A:C,3,0),"nem vett részt")</f>
        <v>nem vett részt</v>
      </c>
      <c r="I33" s="20" t="str">
        <f>IFERROR(VLOOKUP(A33,'2026.05.9-10 20 órás páros'!A:F,4,0),"-")</f>
        <v>-</v>
      </c>
      <c r="J33" s="20" t="str">
        <f>IFERROR(VLOOKUP(A33,'2026.05.9-10 20 órás páros'!A:G,2,0),"-")</f>
        <v>-</v>
      </c>
      <c r="K33" s="20" t="str">
        <f>IFERROR(VLOOKUP(A33,'2026.05.9-10 20 órás páros'!A:H,8,0),"-")</f>
        <v>-</v>
      </c>
      <c r="L33" s="20" t="str">
        <f>IFERROR(VLOOKUP(A33,'2026.05.9-10 20 órás páros'!A:I,5,0),"-")</f>
        <v>-</v>
      </c>
      <c r="M33" s="20">
        <f>IFERROR(VLOOKUP(A33,'2026.05.9-10 20 órás páros'!A:I,6,0),25)</f>
        <v>25</v>
      </c>
      <c r="N33" s="14" t="str">
        <f>IFERROR(VLOOKUP(A33,'2026.06.07 nyári egyéni'!A:D,3,0),"nem vett részt")</f>
        <v>nem vett részt</v>
      </c>
      <c r="O33" s="33" t="str">
        <f>IFERROR(VLOOKUP(A33,'2026.06.07 nyári egyéni'!A:AB,4,0),"-")</f>
        <v>-</v>
      </c>
      <c r="P33" s="33" t="str">
        <f>IFERROR(VLOOKUP(A33,'2026.06.07 nyári egyéni'!A:AC,2,0),"-")</f>
        <v>-</v>
      </c>
      <c r="Q33" s="33" t="str">
        <f>IFERROR(VLOOKUP(A33,'2026.06.07 nyári egyéni'!A:AD,8,0),"-")</f>
        <v>-</v>
      </c>
      <c r="R33" s="33" t="str">
        <f>IFERROR(VLOOKUP(A33,'2026.06.07 nyári egyéni'!A:G,5,0),"-")</f>
        <v>-</v>
      </c>
      <c r="S33" s="20">
        <f>IFERROR(VLOOKUP(A33,'2026.06.07 nyári egyéni'!A:G,6,0),25)</f>
        <v>25</v>
      </c>
      <c r="T33" s="23" t="str">
        <f>IFERROR(VLOOKUP(A33,'2026.08.8-9. éjszakai páros'!A:H,2,0),"nem vett részt")</f>
        <v>nem vett részt</v>
      </c>
      <c r="U33" s="23" t="str">
        <f>IFERROR(VLOOKUP(A33,'2026.08.8-9. éjszakai páros'!A:I,3,0),"-")</f>
        <v>-</v>
      </c>
      <c r="V33" s="23" t="str">
        <f>IFERROR(VLOOKUP(A33,'2026.08.8-9. éjszakai páros'!A:J,4,0),"-")</f>
        <v>-</v>
      </c>
      <c r="W33" s="23" t="str">
        <f>IFERROR(VLOOKUP(A33,'2026.08.8-9. éjszakai páros'!A:H,5,0),"-")</f>
        <v>-</v>
      </c>
      <c r="X33" s="23" t="str">
        <f>IFERROR(VLOOKUP(A33,'2026.08.8-9. éjszakai páros'!A:H,6,0),"-")</f>
        <v>-</v>
      </c>
      <c r="Y33" s="33">
        <f>IFERROR(VLOOKUP(A33,'2026.08.8-9. éjszakai páros'!A:H,8,0),25)</f>
        <v>25</v>
      </c>
      <c r="Z33" s="23" t="str">
        <f>IFERROR(VLOOKUP(A33,'2026.09.20. évzáró egyéni'!A:H,2,0),"nem vett részt")</f>
        <v>nem vett részt</v>
      </c>
      <c r="AA33" s="23" t="str">
        <f>IFERROR(VLOOKUP(A33,'2026.09.20. évzáró egyéni'!A:I,3,0),"-")</f>
        <v>-</v>
      </c>
      <c r="AB33" s="23" t="str">
        <f>IFERROR(VLOOKUP(A33,'2026.09.20. évzáró egyéni'!A:H,4,0),"-")</f>
        <v>-</v>
      </c>
      <c r="AC33" s="23" t="str">
        <f>IFERROR(VLOOKUP(A33,'2026.09.20. évzáró egyéni'!A:H,5,0),"-")</f>
        <v>-</v>
      </c>
      <c r="AD33" s="23" t="str">
        <f>IFERROR(VLOOKUP(A33,'2026.09.20. évzáró egyéni'!A:H,6,0),"-")</f>
        <v>-</v>
      </c>
      <c r="AE33" s="33">
        <f>IFERROR(VLOOKUP(A33,'2026.09.20. évzáró egyéni'!A:H,7,0),25)</f>
        <v>25</v>
      </c>
      <c r="AF33" s="3">
        <f>SUM(B33,H33,N33,T33,Z33)</f>
        <v>26.240000000000002</v>
      </c>
      <c r="AG33" s="20">
        <f>SUM(C33,I33,O33,U33,AA33)</f>
        <v>15</v>
      </c>
      <c r="AH33" s="20">
        <f>VLOOKUP(A33,'helyezési sorrend'!A:J,10,0)</f>
        <v>54</v>
      </c>
      <c r="AI33" s="9" t="str">
        <f>_xlfn.TEXTJOIN(" ",0,COUNT(B33,H33,N33,T33,Z33),"verseny")</f>
        <v>1 verseny</v>
      </c>
      <c r="AK33">
        <v>32</v>
      </c>
      <c r="AL33" s="21" t="s">
        <v>104</v>
      </c>
      <c r="AM33" s="39">
        <f>IFERROR(VLOOKUP(AL33,A:AI,34,0),"-")</f>
        <v>62</v>
      </c>
      <c r="AN33" s="30">
        <f>IFERROR(VLOOKUP(AL33,A:AI,32,0),"-")</f>
        <v>2</v>
      </c>
      <c r="AO33" s="31">
        <f>IFERROR(VLOOKUP(AL33,A:AI,33,0),"-")</f>
        <v>1</v>
      </c>
      <c r="AP33" s="1" t="str">
        <f>IFERROR(VLOOKUP(AL33,A:AI,35,0),"-")</f>
        <v>1 verseny</v>
      </c>
    </row>
    <row r="34" spans="1:42" x14ac:dyDescent="0.25">
      <c r="A34" s="25" t="s">
        <v>102</v>
      </c>
      <c r="B34" s="18" t="str">
        <f>IFERROR(VLOOKUP(A34,'2026.03.29 évnyitó egyéni'!A:G,3,0),"nem vett részt")</f>
        <v>nem vett részt</v>
      </c>
      <c r="C34" s="20" t="str">
        <f>IFERROR(VLOOKUP(A34,'2026.03.29 évnyitó egyéni'!A:G,4,0),"-")</f>
        <v>-</v>
      </c>
      <c r="D34" s="20" t="str">
        <f>IFERROR(VLOOKUP(A34,'2026.03.29 évnyitó egyéni'!A:G,2,0),"-")</f>
        <v>-</v>
      </c>
      <c r="E34" s="20" t="str">
        <f>IFERROR(VLOOKUP(A34,'2026.03.29 évnyitó egyéni'!A:H,8,0),"-")</f>
        <v>-</v>
      </c>
      <c r="F34" s="18" t="str">
        <f>IFERROR(VLOOKUP(A34,'2026.03.29 évnyitó egyéni'!A:G,5,0),"-")</f>
        <v>-</v>
      </c>
      <c r="G34" s="15">
        <f>IFERROR(VLOOKUP(A34,'2026.03.29 évnyitó egyéni'!A:G,7,0),25)</f>
        <v>25</v>
      </c>
      <c r="H34" s="18">
        <f>IFERROR(VLOOKUP(A34,'2026.05.9-10 20 órás páros'!A:C,3,0),"nem vett részt")</f>
        <v>94.18</v>
      </c>
      <c r="I34" s="20">
        <f>IFERROR(VLOOKUP(A34,'2026.05.9-10 20 órás páros'!A:F,4,0),"-")</f>
        <v>38</v>
      </c>
      <c r="J34" s="20" t="str">
        <f>IFERROR(VLOOKUP(A34,'2026.05.9-10 20 órás páros'!A:G,2,0),"-")</f>
        <v>59/a</v>
      </c>
      <c r="K34" s="20" t="str">
        <f>IFERROR(VLOOKUP(A34,'2026.05.9-10 20 órás páros'!A:H,8,0),"-")</f>
        <v>A</v>
      </c>
      <c r="L34" s="20" t="str">
        <f>IFERROR(VLOOKUP(A34,'2026.05.9-10 20 órás páros'!A:I,5,0),"-")</f>
        <v>páros</v>
      </c>
      <c r="M34" s="20">
        <f>IFERROR(VLOOKUP(A34,'2026.05.9-10 20 órás páros'!A:I,6,0),25)</f>
        <v>3</v>
      </c>
      <c r="N34" s="14">
        <f>IFERROR(VLOOKUP(A34,'2026.06.07 nyári egyéni'!A:D,3,0),"nem vett részt")</f>
        <v>88.800000000000011</v>
      </c>
      <c r="O34" s="33">
        <f>IFERROR(VLOOKUP(A34,'2026.06.07 nyári egyéni'!A:AB,4,0),"-")</f>
        <v>32</v>
      </c>
      <c r="P34" s="33">
        <f>IFERROR(VLOOKUP(A34,'2026.06.07 nyári egyéni'!A:AC,2,0),"-")</f>
        <v>2</v>
      </c>
      <c r="Q34" s="33" t="str">
        <f>IFERROR(VLOOKUP(A34,'2026.06.07 nyári egyéni'!A:AD,8,0),"-")</f>
        <v>A</v>
      </c>
      <c r="R34" s="33" t="str">
        <f>IFERROR(VLOOKUP(A34,'2026.06.07 nyári egyéni'!A:G,5,0),"-")</f>
        <v>egyéni</v>
      </c>
      <c r="S34" s="20">
        <f>IFERROR(VLOOKUP(A34,'2026.06.07 nyári egyéni'!A:G,6,0),25)</f>
        <v>1</v>
      </c>
      <c r="T34" s="23" t="str">
        <f>IFERROR(VLOOKUP(A34,'2026.08.8-9. éjszakai páros'!A:H,2,0),"nem vett részt")</f>
        <v>nem vett részt</v>
      </c>
      <c r="U34" s="23" t="str">
        <f>IFERROR(VLOOKUP(A34,'2026.08.8-9. éjszakai páros'!A:I,3,0),"-")</f>
        <v>-</v>
      </c>
      <c r="V34" s="23" t="str">
        <f>IFERROR(VLOOKUP(A34,'2026.08.8-9. éjszakai páros'!A:J,4,0),"-")</f>
        <v>-</v>
      </c>
      <c r="W34" s="23" t="str">
        <f>IFERROR(VLOOKUP(A34,'2026.08.8-9. éjszakai páros'!A:H,5,0),"-")</f>
        <v>-</v>
      </c>
      <c r="X34" s="23" t="str">
        <f>IFERROR(VLOOKUP(A34,'2026.08.8-9. éjszakai páros'!A:H,6,0),"-")</f>
        <v>-</v>
      </c>
      <c r="Y34" s="33">
        <f>IFERROR(VLOOKUP(A34,'2026.08.8-9. éjszakai páros'!A:H,8,0),25)</f>
        <v>25</v>
      </c>
      <c r="Z34" s="23" t="str">
        <f>IFERROR(VLOOKUP(A34,'2026.09.20. évzáró egyéni'!A:H,2,0),"nem vett részt")</f>
        <v>nem vett részt</v>
      </c>
      <c r="AA34" s="23" t="str">
        <f>IFERROR(VLOOKUP(A34,'2026.09.20. évzáró egyéni'!A:I,3,0),"-")</f>
        <v>-</v>
      </c>
      <c r="AB34" s="23" t="str">
        <f>IFERROR(VLOOKUP(A34,'2026.09.20. évzáró egyéni'!A:H,4,0),"-")</f>
        <v>-</v>
      </c>
      <c r="AC34" s="23" t="str">
        <f>IFERROR(VLOOKUP(A34,'2026.09.20. évzáró egyéni'!A:H,5,0),"-")</f>
        <v>-</v>
      </c>
      <c r="AD34" s="23" t="str">
        <f>IFERROR(VLOOKUP(A34,'2026.09.20. évzáró egyéni'!A:H,6,0),"-")</f>
        <v>-</v>
      </c>
      <c r="AE34" s="33">
        <f>IFERROR(VLOOKUP(A34,'2026.09.20. évzáró egyéni'!A:H,7,0),25)</f>
        <v>25</v>
      </c>
      <c r="AF34" s="3">
        <f>SUM(B34,H34,N34,T34,Z34)</f>
        <v>182.98000000000002</v>
      </c>
      <c r="AG34" s="20">
        <f>SUM(C34,I34,O34,U34,AA34)</f>
        <v>70</v>
      </c>
      <c r="AH34" s="20">
        <f>VLOOKUP(A34,'helyezési sorrend'!A:J,10,0)</f>
        <v>29</v>
      </c>
      <c r="AI34" s="9" t="str">
        <f>_xlfn.TEXTJOIN(" ",0,COUNT(B34,H34,N34,T34,Z34),"verseny")</f>
        <v>2 verseny</v>
      </c>
      <c r="AK34">
        <v>33</v>
      </c>
      <c r="AL34" s="21" t="s">
        <v>105</v>
      </c>
      <c r="AM34" s="39">
        <f>IFERROR(VLOOKUP(AL34,A:AI,34,0),"-")</f>
        <v>62</v>
      </c>
      <c r="AN34" s="30">
        <f>IFERROR(VLOOKUP(AL34,A:AI,32,0),"-")</f>
        <v>2.4300000000000002</v>
      </c>
      <c r="AO34" s="31">
        <f>IFERROR(VLOOKUP(AL34,A:AI,33,0),"-")</f>
        <v>1</v>
      </c>
      <c r="AP34" s="1" t="str">
        <f>IFERROR(VLOOKUP(AL34,A:AI,35,0),"-")</f>
        <v>1 verseny</v>
      </c>
    </row>
    <row r="35" spans="1:42" x14ac:dyDescent="0.25">
      <c r="A35" s="25" t="s">
        <v>98</v>
      </c>
      <c r="B35" s="18" t="str">
        <f>IFERROR(VLOOKUP(A35,'2026.03.29 évnyitó egyéni'!A:G,3,0),"nem vett részt")</f>
        <v>nem vett részt</v>
      </c>
      <c r="C35" s="20" t="str">
        <f>IFERROR(VLOOKUP(A35,'2026.03.29 évnyitó egyéni'!A:G,4,0),"-")</f>
        <v>-</v>
      </c>
      <c r="D35" s="20" t="str">
        <f>IFERROR(VLOOKUP(A35,'2026.03.29 évnyitó egyéni'!A:G,2,0),"-")</f>
        <v>-</v>
      </c>
      <c r="E35" s="20" t="str">
        <f>IFERROR(VLOOKUP(A35,'2026.03.29 évnyitó egyéni'!A:H,8,0),"-")</f>
        <v>-</v>
      </c>
      <c r="F35" s="18" t="str">
        <f>IFERROR(VLOOKUP(A35,'2026.03.29 évnyitó egyéni'!A:G,5,0),"-")</f>
        <v>-</v>
      </c>
      <c r="G35" s="15">
        <f>IFERROR(VLOOKUP(A35,'2026.03.29 évnyitó egyéni'!A:G,7,0),25)</f>
        <v>25</v>
      </c>
      <c r="H35" s="18">
        <f>IFERROR(VLOOKUP(A35,'2026.05.9-10 20 órás páros'!A:C,3,0),"nem vett részt")</f>
        <v>30.04</v>
      </c>
      <c r="I35" s="20">
        <f>IFERROR(VLOOKUP(A35,'2026.05.9-10 20 órás páros'!A:F,4,0),"-")</f>
        <v>15</v>
      </c>
      <c r="J35" s="20" t="str">
        <f>IFERROR(VLOOKUP(A35,'2026.05.9-10 20 órás páros'!A:G,2,0),"-")</f>
        <v>56/a</v>
      </c>
      <c r="K35" s="20" t="str">
        <f>IFERROR(VLOOKUP(A35,'2026.05.9-10 20 órás páros'!A:H,8,0),"-")</f>
        <v>A</v>
      </c>
      <c r="L35" s="20" t="str">
        <f>IFERROR(VLOOKUP(A35,'2026.05.9-10 20 órás páros'!A:I,5,0),"-")</f>
        <v>páros</v>
      </c>
      <c r="M35" s="20">
        <f>IFERROR(VLOOKUP(A35,'2026.05.9-10 20 órás páros'!A:I,6,0),25)</f>
        <v>8</v>
      </c>
      <c r="N35" s="14">
        <f>IFERROR(VLOOKUP(A35,'2026.06.07 nyári egyéni'!A:D,3,0),"nem vett részt")</f>
        <v>52.699999999999989</v>
      </c>
      <c r="O35" s="33">
        <f>IFERROR(VLOOKUP(A35,'2026.06.07 nyári egyéni'!A:AB,4,0),"-")</f>
        <v>21</v>
      </c>
      <c r="P35" s="33">
        <f>IFERROR(VLOOKUP(A35,'2026.06.07 nyári egyéni'!A:AC,2,0),"-")</f>
        <v>26</v>
      </c>
      <c r="Q35" s="33" t="str">
        <f>IFERROR(VLOOKUP(A35,'2026.06.07 nyári egyéni'!A:AD,8,0),"-")</f>
        <v>B</v>
      </c>
      <c r="R35" s="33" t="str">
        <f>IFERROR(VLOOKUP(A35,'2026.06.07 nyári egyéni'!A:G,5,0),"-")</f>
        <v>egyéni</v>
      </c>
      <c r="S35" s="20">
        <f>IFERROR(VLOOKUP(A35,'2026.06.07 nyári egyéni'!A:G,6,0),25)</f>
        <v>2</v>
      </c>
      <c r="T35" s="23" t="str">
        <f>IFERROR(VLOOKUP(A35,'2026.08.8-9. éjszakai páros'!A:H,2,0),"nem vett részt")</f>
        <v>nem vett részt</v>
      </c>
      <c r="U35" s="23" t="str">
        <f>IFERROR(VLOOKUP(A35,'2026.08.8-9. éjszakai páros'!A:I,3,0),"-")</f>
        <v>-</v>
      </c>
      <c r="V35" s="23" t="str">
        <f>IFERROR(VLOOKUP(A35,'2026.08.8-9. éjszakai páros'!A:J,4,0),"-")</f>
        <v>-</v>
      </c>
      <c r="W35" s="23" t="str">
        <f>IFERROR(VLOOKUP(A35,'2026.08.8-9. éjszakai páros'!A:H,5,0),"-")</f>
        <v>-</v>
      </c>
      <c r="X35" s="23" t="str">
        <f>IFERROR(VLOOKUP(A35,'2026.08.8-9. éjszakai páros'!A:H,6,0),"-")</f>
        <v>-</v>
      </c>
      <c r="Y35" s="33">
        <f>IFERROR(VLOOKUP(A35,'2026.08.8-9. éjszakai páros'!A:H,8,0),25)</f>
        <v>25</v>
      </c>
      <c r="Z35" s="23" t="str">
        <f>IFERROR(VLOOKUP(A35,'2026.09.20. évzáró egyéni'!A:H,2,0),"nem vett részt")</f>
        <v>nem vett részt</v>
      </c>
      <c r="AA35" s="23" t="str">
        <f>IFERROR(VLOOKUP(A35,'2026.09.20. évzáró egyéni'!A:I,3,0),"-")</f>
        <v>-</v>
      </c>
      <c r="AB35" s="23" t="str">
        <f>IFERROR(VLOOKUP(A35,'2026.09.20. évzáró egyéni'!A:H,4,0),"-")</f>
        <v>-</v>
      </c>
      <c r="AC35" s="23" t="str">
        <f>IFERROR(VLOOKUP(A35,'2026.09.20. évzáró egyéni'!A:H,5,0),"-")</f>
        <v>-</v>
      </c>
      <c r="AD35" s="23" t="str">
        <f>IFERROR(VLOOKUP(A35,'2026.09.20. évzáró egyéni'!A:H,6,0),"-")</f>
        <v>-</v>
      </c>
      <c r="AE35" s="33">
        <f>IFERROR(VLOOKUP(A35,'2026.09.20. évzáró egyéni'!A:H,7,0),25)</f>
        <v>25</v>
      </c>
      <c r="AF35" s="3">
        <f>SUM(B35,H35,N35,T35,Z35)</f>
        <v>82.739999999999981</v>
      </c>
      <c r="AG35" s="20">
        <f>SUM(C35,I35,O35,U35,AA35)</f>
        <v>36</v>
      </c>
      <c r="AH35" s="20">
        <f>VLOOKUP(A35,'helyezési sorrend'!A:J,10,0)</f>
        <v>35</v>
      </c>
      <c r="AI35" s="9" t="str">
        <f>_xlfn.TEXTJOIN(" ",0,COUNT(B35,H35,N35,T35,Z35),"verseny")</f>
        <v>2 verseny</v>
      </c>
      <c r="AK35">
        <v>34</v>
      </c>
      <c r="AL35" s="21" t="s">
        <v>27</v>
      </c>
      <c r="AM35" s="39">
        <f>IFERROR(VLOOKUP(AL35,A:AI,34,0),"-")</f>
        <v>62</v>
      </c>
      <c r="AN35" s="30">
        <f>IFERROR(VLOOKUP(AL35,A:AI,32,0),"-")</f>
        <v>4.05</v>
      </c>
      <c r="AO35" s="31">
        <f>IFERROR(VLOOKUP(AL35,A:AI,33,0),"-")</f>
        <v>5</v>
      </c>
      <c r="AP35" s="1" t="str">
        <f>IFERROR(VLOOKUP(AL35,A:AI,35,0),"-")</f>
        <v>2 verseny</v>
      </c>
    </row>
    <row r="36" spans="1:42" x14ac:dyDescent="0.25">
      <c r="A36" s="25" t="s">
        <v>76</v>
      </c>
      <c r="B36" s="18" t="str">
        <f>IFERROR(VLOOKUP(A36,'2026.03.29 évnyitó egyéni'!A:G,3,0),"nem vett részt")</f>
        <v>nem vett részt</v>
      </c>
      <c r="C36" s="20" t="str">
        <f>IFERROR(VLOOKUP(A36,'2026.03.29 évnyitó egyéni'!A:G,4,0),"-")</f>
        <v>-</v>
      </c>
      <c r="D36" s="20" t="str">
        <f>IFERROR(VLOOKUP(A36,'2026.03.29 évnyitó egyéni'!A:G,2,0),"-")</f>
        <v>-</v>
      </c>
      <c r="E36" s="20" t="str">
        <f>IFERROR(VLOOKUP(A36,'2026.03.29 évnyitó egyéni'!A:H,8,0),"-")</f>
        <v>-</v>
      </c>
      <c r="F36" s="18" t="str">
        <f>IFERROR(VLOOKUP(A36,'2026.03.29 évnyitó egyéni'!A:G,5,0),"-")</f>
        <v>-</v>
      </c>
      <c r="G36" s="15">
        <f>IFERROR(VLOOKUP(A36,'2026.03.29 évnyitó egyéni'!A:G,7,0),25)</f>
        <v>25</v>
      </c>
      <c r="H36" s="18">
        <f>IFERROR(VLOOKUP(A36,'2026.05.9-10 20 órás páros'!A:C,3,0),"nem vett részt")</f>
        <v>110.07000000000001</v>
      </c>
      <c r="I36" s="20">
        <f>IFERROR(VLOOKUP(A36,'2026.05.9-10 20 órás páros'!A:F,4,0),"-")</f>
        <v>44</v>
      </c>
      <c r="J36" s="20">
        <f>IFERROR(VLOOKUP(A36,'2026.05.9-10 20 órás páros'!A:G,2,0),"-")</f>
        <v>6</v>
      </c>
      <c r="K36" s="20" t="str">
        <f>IFERROR(VLOOKUP(A36,'2026.05.9-10 20 órás páros'!A:H,8,0),"-")</f>
        <v>B</v>
      </c>
      <c r="L36" s="20" t="str">
        <f>IFERROR(VLOOKUP(A36,'2026.05.9-10 20 órás páros'!A:I,5,0),"-")</f>
        <v>páros</v>
      </c>
      <c r="M36" s="20">
        <f>IFERROR(VLOOKUP(A36,'2026.05.9-10 20 órás páros'!A:I,6,0),25)</f>
        <v>1</v>
      </c>
      <c r="N36" s="14" t="str">
        <f>IFERROR(VLOOKUP(A36,'2026.06.07 nyári egyéni'!A:D,3,0),"nem vett részt")</f>
        <v>nem vett részt</v>
      </c>
      <c r="O36" s="33" t="str">
        <f>IFERROR(VLOOKUP(A36,'2026.06.07 nyári egyéni'!A:AB,4,0),"-")</f>
        <v>-</v>
      </c>
      <c r="P36" s="33" t="str">
        <f>IFERROR(VLOOKUP(A36,'2026.06.07 nyári egyéni'!A:AC,2,0),"-")</f>
        <v>-</v>
      </c>
      <c r="Q36" s="33" t="str">
        <f>IFERROR(VLOOKUP(A36,'2026.06.07 nyári egyéni'!A:AD,8,0),"-")</f>
        <v>-</v>
      </c>
      <c r="R36" s="33" t="str">
        <f>IFERROR(VLOOKUP(A36,'2026.06.07 nyári egyéni'!A:G,5,0),"-")</f>
        <v>-</v>
      </c>
      <c r="S36" s="20">
        <f>IFERROR(VLOOKUP(A36,'2026.06.07 nyári egyéni'!A:G,6,0),25)</f>
        <v>25</v>
      </c>
      <c r="T36" s="23" t="str">
        <f>IFERROR(VLOOKUP(A36,'2026.08.8-9. éjszakai páros'!A:H,2,0),"nem vett részt")</f>
        <v>nem vett részt</v>
      </c>
      <c r="U36" s="23" t="str">
        <f>IFERROR(VLOOKUP(A36,'2026.08.8-9. éjszakai páros'!A:I,3,0),"-")</f>
        <v>-</v>
      </c>
      <c r="V36" s="23" t="str">
        <f>IFERROR(VLOOKUP(A36,'2026.08.8-9. éjszakai páros'!A:J,4,0),"-")</f>
        <v>-</v>
      </c>
      <c r="W36" s="23" t="str">
        <f>IFERROR(VLOOKUP(A36,'2026.08.8-9. éjszakai páros'!A:H,5,0),"-")</f>
        <v>-</v>
      </c>
      <c r="X36" s="23" t="str">
        <f>IFERROR(VLOOKUP(A36,'2026.08.8-9. éjszakai páros'!A:H,6,0),"-")</f>
        <v>-</v>
      </c>
      <c r="Y36" s="33">
        <f>IFERROR(VLOOKUP(A36,'2026.08.8-9. éjszakai páros'!A:H,8,0),25)</f>
        <v>25</v>
      </c>
      <c r="Z36" s="23" t="str">
        <f>IFERROR(VLOOKUP(A36,'2026.09.20. évzáró egyéni'!A:H,2,0),"nem vett részt")</f>
        <v>nem vett részt</v>
      </c>
      <c r="AA36" s="23" t="str">
        <f>IFERROR(VLOOKUP(A36,'2026.09.20. évzáró egyéni'!A:I,3,0),"-")</f>
        <v>-</v>
      </c>
      <c r="AB36" s="23" t="str">
        <f>IFERROR(VLOOKUP(A36,'2026.09.20. évzáró egyéni'!A:H,4,0),"-")</f>
        <v>-</v>
      </c>
      <c r="AC36" s="23" t="str">
        <f>IFERROR(VLOOKUP(A36,'2026.09.20. évzáró egyéni'!A:H,5,0),"-")</f>
        <v>-</v>
      </c>
      <c r="AD36" s="23" t="str">
        <f>IFERROR(VLOOKUP(A36,'2026.09.20. évzáró egyéni'!A:H,6,0),"-")</f>
        <v>-</v>
      </c>
      <c r="AE36" s="33">
        <f>IFERROR(VLOOKUP(A36,'2026.09.20. évzáró egyéni'!A:H,7,0),25)</f>
        <v>25</v>
      </c>
      <c r="AF36" s="3">
        <f>SUM(B36,H36,N36,T36,Z36)</f>
        <v>110.07000000000001</v>
      </c>
      <c r="AG36" s="20">
        <f>SUM(C36,I36,O36,U36,AA36)</f>
        <v>44</v>
      </c>
      <c r="AH36" s="20">
        <f>VLOOKUP(A36,'helyezési sorrend'!A:J,10,0)</f>
        <v>51</v>
      </c>
      <c r="AI36" s="9" t="str">
        <f>_xlfn.TEXTJOIN(" ",0,COUNT(B36,H36,N36,T36,Z36),"verseny")</f>
        <v>1 verseny</v>
      </c>
      <c r="AK36">
        <v>35</v>
      </c>
      <c r="AL36" s="21" t="s">
        <v>83</v>
      </c>
      <c r="AM36" s="39">
        <f>IFERROR(VLOOKUP(AL36,A:AI,34,0),"-")</f>
        <v>63</v>
      </c>
      <c r="AN36" s="30">
        <f>IFERROR(VLOOKUP(AL36,A:AI,32,0),"-")</f>
        <v>3.51</v>
      </c>
      <c r="AO36" s="31">
        <f>IFERROR(VLOOKUP(AL36,A:AI,33,0),"-")</f>
        <v>1</v>
      </c>
      <c r="AP36" s="1" t="str">
        <f>IFERROR(VLOOKUP(AL36,A:AI,35,0),"-")</f>
        <v>1 verseny</v>
      </c>
    </row>
    <row r="37" spans="1:42" x14ac:dyDescent="0.25">
      <c r="A37" s="25" t="s">
        <v>30</v>
      </c>
      <c r="B37" s="18">
        <f>IFERROR(VLOOKUP(A37,'2026.03.29 évnyitó egyéni'!A:G,3,0),"nem vett részt")</f>
        <v>42.69</v>
      </c>
      <c r="C37" s="20">
        <f>IFERROR(VLOOKUP(A37,'2026.03.29 évnyitó egyéni'!A:G,4,0),"-")</f>
        <v>23</v>
      </c>
      <c r="D37" s="20">
        <f>IFERROR(VLOOKUP(A37,'2026.03.29 évnyitó egyéni'!A:G,2,0),"-")</f>
        <v>33</v>
      </c>
      <c r="E37" s="20" t="str">
        <f>IFERROR(VLOOKUP(A37,'2026.03.29 évnyitó egyéni'!A:H,8,0),"-")</f>
        <v>C</v>
      </c>
      <c r="F37" s="18" t="str">
        <f>IFERROR(VLOOKUP(A37,'2026.03.29 évnyitó egyéni'!A:G,5,0),"-")</f>
        <v>egyéni</v>
      </c>
      <c r="G37" s="15">
        <f>IFERROR(VLOOKUP(A37,'2026.03.29 évnyitó egyéni'!A:G,7,0),25)</f>
        <v>2</v>
      </c>
      <c r="H37" s="18">
        <f>IFERROR(VLOOKUP(A37,'2026.05.9-10 20 órás páros'!A:C,3,0),"nem vett részt")</f>
        <v>128.13999999999999</v>
      </c>
      <c r="I37" s="20">
        <f>IFERROR(VLOOKUP(A37,'2026.05.9-10 20 órás páros'!A:F,4,0),"-")</f>
        <v>42</v>
      </c>
      <c r="J37" s="20">
        <f>IFERROR(VLOOKUP(A37,'2026.05.9-10 20 órás páros'!A:G,2,0),"-")</f>
        <v>7</v>
      </c>
      <c r="K37" s="20" t="str">
        <f>IFERROR(VLOOKUP(A37,'2026.05.9-10 20 órás páros'!A:H,8,0),"-")</f>
        <v>B</v>
      </c>
      <c r="L37" s="20" t="str">
        <f>IFERROR(VLOOKUP(A37,'2026.05.9-10 20 órás páros'!A:I,5,0),"-")</f>
        <v>páros</v>
      </c>
      <c r="M37" s="20">
        <f>IFERROR(VLOOKUP(A37,'2026.05.9-10 20 órás páros'!A:I,6,0),25)</f>
        <v>1</v>
      </c>
      <c r="N37" s="14">
        <f>IFERROR(VLOOKUP(A37,'2026.06.07 nyári egyéni'!A:D,3,0),"nem vett részt")</f>
        <v>35.67</v>
      </c>
      <c r="O37" s="33">
        <f>IFERROR(VLOOKUP(A37,'2026.06.07 nyári egyéni'!A:AB,4,0),"-")</f>
        <v>8</v>
      </c>
      <c r="P37" s="33">
        <f>IFERROR(VLOOKUP(A37,'2026.06.07 nyári egyéni'!A:AC,2,0),"-")</f>
        <v>23</v>
      </c>
      <c r="Q37" s="33" t="str">
        <f>IFERROR(VLOOKUP(A37,'2026.06.07 nyári egyéni'!A:AD,8,0),"-")</f>
        <v>B</v>
      </c>
      <c r="R37" s="33" t="str">
        <f>IFERROR(VLOOKUP(A37,'2026.06.07 nyári egyéni'!A:G,5,0),"-")</f>
        <v>egyéni</v>
      </c>
      <c r="S37" s="20">
        <f>IFERROR(VLOOKUP(A37,'2026.06.07 nyári egyéni'!A:G,6,0),25)</f>
        <v>7</v>
      </c>
      <c r="T37" s="23" t="str">
        <f>IFERROR(VLOOKUP(A37,'2026.08.8-9. éjszakai páros'!A:H,2,0),"nem vett részt")</f>
        <v>nem vett részt</v>
      </c>
      <c r="U37" s="23" t="str">
        <f>IFERROR(VLOOKUP(A37,'2026.08.8-9. éjszakai páros'!A:I,3,0),"-")</f>
        <v>-</v>
      </c>
      <c r="V37" s="23" t="str">
        <f>IFERROR(VLOOKUP(A37,'2026.08.8-9. éjszakai páros'!A:J,4,0),"-")</f>
        <v>-</v>
      </c>
      <c r="W37" s="23" t="str">
        <f>IFERROR(VLOOKUP(A37,'2026.08.8-9. éjszakai páros'!A:H,5,0),"-")</f>
        <v>-</v>
      </c>
      <c r="X37" s="23" t="str">
        <f>IFERROR(VLOOKUP(A37,'2026.08.8-9. éjszakai páros'!A:H,6,0),"-")</f>
        <v>-</v>
      </c>
      <c r="Y37" s="33">
        <f>IFERROR(VLOOKUP(A37,'2026.08.8-9. éjszakai páros'!A:H,8,0),25)</f>
        <v>25</v>
      </c>
      <c r="Z37" s="23" t="str">
        <f>IFERROR(VLOOKUP(A37,'2026.09.20. évzáró egyéni'!A:H,2,0),"nem vett részt")</f>
        <v>nem vett részt</v>
      </c>
      <c r="AA37" s="23" t="str">
        <f>IFERROR(VLOOKUP(A37,'2026.09.20. évzáró egyéni'!A:I,3,0),"-")</f>
        <v>-</v>
      </c>
      <c r="AB37" s="23" t="str">
        <f>IFERROR(VLOOKUP(A37,'2026.09.20. évzáró egyéni'!A:H,4,0),"-")</f>
        <v>-</v>
      </c>
      <c r="AC37" s="23" t="str">
        <f>IFERROR(VLOOKUP(A37,'2026.09.20. évzáró egyéni'!A:H,5,0),"-")</f>
        <v>-</v>
      </c>
      <c r="AD37" s="23" t="str">
        <f>IFERROR(VLOOKUP(A37,'2026.09.20. évzáró egyéni'!A:H,6,0),"-")</f>
        <v>-</v>
      </c>
      <c r="AE37" s="33">
        <f>IFERROR(VLOOKUP(A37,'2026.09.20. évzáró egyéni'!A:H,7,0),25)</f>
        <v>25</v>
      </c>
      <c r="AF37" s="3">
        <f>SUM(B37,H37,N37,T37,Z37)</f>
        <v>206.5</v>
      </c>
      <c r="AG37" s="20">
        <f>SUM(C37,I37,O37,U37,AA37)</f>
        <v>73</v>
      </c>
      <c r="AH37" s="20">
        <f>VLOOKUP(A37,'helyezési sorrend'!A:J,10,0)</f>
        <v>10</v>
      </c>
      <c r="AI37" s="9" t="str">
        <f>_xlfn.TEXTJOIN(" ",0,COUNT(B37,H37,N37,T37,Z37),"verseny")</f>
        <v>3 verseny</v>
      </c>
      <c r="AK37">
        <v>36</v>
      </c>
      <c r="AL37" s="21" t="s">
        <v>24</v>
      </c>
      <c r="AM37" s="39">
        <f>IFERROR(VLOOKUP(AL37,A:AI,34,0),"-")</f>
        <v>65</v>
      </c>
      <c r="AN37" s="30">
        <f>IFERROR(VLOOKUP(AL37,A:AI,32,0),"-")</f>
        <v>0.28000000000000003</v>
      </c>
      <c r="AO37" s="31">
        <f>IFERROR(VLOOKUP(AL37,A:AI,33,0),"-")</f>
        <v>2</v>
      </c>
      <c r="AP37" s="1" t="str">
        <f>IFERROR(VLOOKUP(AL37,A:AI,35,0),"-")</f>
        <v>1 verseny</v>
      </c>
    </row>
    <row r="38" spans="1:42" x14ac:dyDescent="0.25">
      <c r="A38" s="25" t="s">
        <v>103</v>
      </c>
      <c r="B38" s="18" t="str">
        <f>IFERROR(VLOOKUP(A38,'2026.03.29 évnyitó egyéni'!A:G,3,0),"nem vett részt")</f>
        <v>nem vett részt</v>
      </c>
      <c r="C38" s="20" t="str">
        <f>IFERROR(VLOOKUP(A38,'2026.03.29 évnyitó egyéni'!A:G,4,0),"-")</f>
        <v>-</v>
      </c>
      <c r="D38" s="20" t="str">
        <f>IFERROR(VLOOKUP(A38,'2026.03.29 évnyitó egyéni'!A:G,2,0),"-")</f>
        <v>-</v>
      </c>
      <c r="E38" s="20" t="str">
        <f>IFERROR(VLOOKUP(A38,'2026.03.29 évnyitó egyéni'!A:H,8,0),"-")</f>
        <v>-</v>
      </c>
      <c r="F38" s="18" t="str">
        <f>IFERROR(VLOOKUP(A38,'2026.03.29 évnyitó egyéni'!A:G,5,0),"-")</f>
        <v>-</v>
      </c>
      <c r="G38" s="15">
        <f>IFERROR(VLOOKUP(A38,'2026.03.29 évnyitó egyéni'!A:G,7,0),25)</f>
        <v>25</v>
      </c>
      <c r="H38" s="18">
        <f>IFERROR(VLOOKUP(A38,'2026.05.9-10 20 órás páros'!A:C,3,0),"nem vett részt")</f>
        <v>4.3499999999999996</v>
      </c>
      <c r="I38" s="20">
        <f>IFERROR(VLOOKUP(A38,'2026.05.9-10 20 órás páros'!A:F,4,0),"-")</f>
        <v>1</v>
      </c>
      <c r="J38" s="20" t="str">
        <f>IFERROR(VLOOKUP(A38,'2026.05.9-10 20 órás páros'!A:G,2,0),"-")</f>
        <v>55/a</v>
      </c>
      <c r="K38" s="20" t="str">
        <f>IFERROR(VLOOKUP(A38,'2026.05.9-10 20 órás páros'!A:H,8,0),"-")</f>
        <v>A</v>
      </c>
      <c r="L38" s="20" t="str">
        <f>IFERROR(VLOOKUP(A38,'2026.05.9-10 20 órás páros'!A:I,5,0),"-")</f>
        <v>páros</v>
      </c>
      <c r="M38" s="20">
        <f>IFERROR(VLOOKUP(A38,'2026.05.9-10 20 órás páros'!A:I,6,0),25)</f>
        <v>10</v>
      </c>
      <c r="N38" s="14" t="str">
        <f>IFERROR(VLOOKUP(A38,'2026.06.07 nyári egyéni'!A:D,3,0),"nem vett részt")</f>
        <v>nem vett részt</v>
      </c>
      <c r="O38" s="33" t="str">
        <f>IFERROR(VLOOKUP(A38,'2026.06.07 nyári egyéni'!A:AB,4,0),"-")</f>
        <v>-</v>
      </c>
      <c r="P38" s="33" t="str">
        <f>IFERROR(VLOOKUP(A38,'2026.06.07 nyári egyéni'!A:AC,2,0),"-")</f>
        <v>-</v>
      </c>
      <c r="Q38" s="33" t="str">
        <f>IFERROR(VLOOKUP(A38,'2026.06.07 nyári egyéni'!A:AD,8,0),"-")</f>
        <v>-</v>
      </c>
      <c r="R38" s="33" t="str">
        <f>IFERROR(VLOOKUP(A38,'2026.06.07 nyári egyéni'!A:G,5,0),"-")</f>
        <v>-</v>
      </c>
      <c r="S38" s="20">
        <f>IFERROR(VLOOKUP(A38,'2026.06.07 nyári egyéni'!A:G,6,0),25)</f>
        <v>25</v>
      </c>
      <c r="T38" s="23" t="str">
        <f>IFERROR(VLOOKUP(A38,'2026.08.8-9. éjszakai páros'!A:H,2,0),"nem vett részt")</f>
        <v>nem vett részt</v>
      </c>
      <c r="U38" s="23" t="str">
        <f>IFERROR(VLOOKUP(A38,'2026.08.8-9. éjszakai páros'!A:I,3,0),"-")</f>
        <v>-</v>
      </c>
      <c r="V38" s="23" t="str">
        <f>IFERROR(VLOOKUP(A38,'2026.08.8-9. éjszakai páros'!A:J,4,0),"-")</f>
        <v>-</v>
      </c>
      <c r="W38" s="23" t="str">
        <f>IFERROR(VLOOKUP(A38,'2026.08.8-9. éjszakai páros'!A:H,5,0),"-")</f>
        <v>-</v>
      </c>
      <c r="X38" s="23" t="str">
        <f>IFERROR(VLOOKUP(A38,'2026.08.8-9. éjszakai páros'!A:H,6,0),"-")</f>
        <v>-</v>
      </c>
      <c r="Y38" s="33">
        <f>IFERROR(VLOOKUP(A38,'2026.08.8-9. éjszakai páros'!A:H,8,0),25)</f>
        <v>25</v>
      </c>
      <c r="Z38" s="23" t="str">
        <f>IFERROR(VLOOKUP(A38,'2026.09.20. évzáró egyéni'!A:H,2,0),"nem vett részt")</f>
        <v>nem vett részt</v>
      </c>
      <c r="AA38" s="23" t="str">
        <f>IFERROR(VLOOKUP(A38,'2026.09.20. évzáró egyéni'!A:I,3,0),"-")</f>
        <v>-</v>
      </c>
      <c r="AB38" s="23" t="str">
        <f>IFERROR(VLOOKUP(A38,'2026.09.20. évzáró egyéni'!A:H,4,0),"-")</f>
        <v>-</v>
      </c>
      <c r="AC38" s="23" t="str">
        <f>IFERROR(VLOOKUP(A38,'2026.09.20. évzáró egyéni'!A:H,5,0),"-")</f>
        <v>-</v>
      </c>
      <c r="AD38" s="23" t="str">
        <f>IFERROR(VLOOKUP(A38,'2026.09.20. évzáró egyéni'!A:H,6,0),"-")</f>
        <v>-</v>
      </c>
      <c r="AE38" s="33">
        <f>IFERROR(VLOOKUP(A38,'2026.09.20. évzáró egyéni'!A:H,7,0),25)</f>
        <v>25</v>
      </c>
      <c r="AF38" s="3">
        <f>SUM(B38,H38,N38,T38,Z38)</f>
        <v>4.3499999999999996</v>
      </c>
      <c r="AG38" s="20">
        <f>SUM(C38,I38,O38,U38,AA38)</f>
        <v>1</v>
      </c>
      <c r="AH38" s="20">
        <f>VLOOKUP(A38,'helyezési sorrend'!A:J,10,0)</f>
        <v>60</v>
      </c>
      <c r="AI38" s="9" t="str">
        <f>_xlfn.TEXTJOIN(" ",0,COUNT(B38,H38,N38,T38,Z38),"verseny")</f>
        <v>1 verseny</v>
      </c>
      <c r="AK38">
        <v>37</v>
      </c>
      <c r="AL38" s="21" t="s">
        <v>23</v>
      </c>
      <c r="AM38" s="39">
        <f>IFERROR(VLOOKUP(AL38,A:AI,34,0),"-")</f>
        <v>67</v>
      </c>
      <c r="AN38" s="30">
        <f>IFERROR(VLOOKUP(AL38,A:AI,32,0),"-")</f>
        <v>0</v>
      </c>
      <c r="AO38" s="31">
        <f>IFERROR(VLOOKUP(AL38,A:AI,33,0),"-")</f>
        <v>0</v>
      </c>
      <c r="AP38" s="1" t="str">
        <f>IFERROR(VLOOKUP(AL38,A:AI,35,0),"-")</f>
        <v>1 verseny</v>
      </c>
    </row>
    <row r="39" spans="1:42" x14ac:dyDescent="0.25">
      <c r="A39" s="25" t="s">
        <v>5</v>
      </c>
      <c r="B39" s="18">
        <f>IFERROR(VLOOKUP(A39,'2026.03.29 évnyitó egyéni'!A:G,3,0),"nem vett részt")</f>
        <v>17.18</v>
      </c>
      <c r="C39" s="20">
        <f>IFERROR(VLOOKUP(A39,'2026.03.29 évnyitó egyéni'!A:G,4,0),"-")</f>
        <v>5</v>
      </c>
      <c r="D39" s="20">
        <f>IFERROR(VLOOKUP(A39,'2026.03.29 évnyitó egyéni'!A:G,2,0),"-")</f>
        <v>24</v>
      </c>
      <c r="E39" s="20" t="str">
        <f>IFERROR(VLOOKUP(A39,'2026.03.29 évnyitó egyéni'!A:H,8,0),"-")</f>
        <v>B</v>
      </c>
      <c r="F39" s="18" t="str">
        <f>IFERROR(VLOOKUP(A39,'2026.03.29 évnyitó egyéni'!A:G,5,0),"-")</f>
        <v>egyéni</v>
      </c>
      <c r="G39" s="15">
        <f>IFERROR(VLOOKUP(A39,'2026.03.29 évnyitó egyéni'!A:G,7,0),25)</f>
        <v>9</v>
      </c>
      <c r="H39" s="18">
        <f>IFERROR(VLOOKUP(A39,'2026.05.9-10 20 órás páros'!A:C,3,0),"nem vett részt")</f>
        <v>10.39</v>
      </c>
      <c r="I39" s="20">
        <f>IFERROR(VLOOKUP(A39,'2026.05.9-10 20 órás páros'!A:F,4,0),"-")</f>
        <v>27</v>
      </c>
      <c r="J39" s="20">
        <f>IFERROR(VLOOKUP(A39,'2026.05.9-10 20 órás páros'!A:G,2,0),"-")</f>
        <v>55</v>
      </c>
      <c r="K39" s="20" t="str">
        <f>IFERROR(VLOOKUP(A39,'2026.05.9-10 20 órás páros'!A:H,8,0),"-")</f>
        <v>A</v>
      </c>
      <c r="L39" s="20" t="str">
        <f>IFERROR(VLOOKUP(A39,'2026.05.9-10 20 órás páros'!A:I,5,0),"-")</f>
        <v>páros</v>
      </c>
      <c r="M39" s="20">
        <f>IFERROR(VLOOKUP(A39,'2026.05.9-10 20 órás páros'!A:I,6,0),25)</f>
        <v>10</v>
      </c>
      <c r="N39" s="14">
        <f>IFERROR(VLOOKUP(A39,'2026.06.07 nyári egyéni'!A:D,3,0),"nem vett részt")</f>
        <v>4.17</v>
      </c>
      <c r="O39" s="33">
        <f>IFERROR(VLOOKUP(A39,'2026.06.07 nyári egyéni'!A:AB,4,0),"-")</f>
        <v>1</v>
      </c>
      <c r="P39" s="33">
        <f>IFERROR(VLOOKUP(A39,'2026.06.07 nyári egyéni'!A:AC,2,0),"-")</f>
        <v>22</v>
      </c>
      <c r="Q39" s="33" t="str">
        <f>IFERROR(VLOOKUP(A39,'2026.06.07 nyári egyéni'!A:AD,8,0),"-")</f>
        <v>B</v>
      </c>
      <c r="R39" s="33" t="str">
        <f>IFERROR(VLOOKUP(A39,'2026.06.07 nyári egyéni'!A:G,5,0),"-")</f>
        <v>egyéni</v>
      </c>
      <c r="S39" s="20">
        <f>IFERROR(VLOOKUP(A39,'2026.06.07 nyári egyéni'!A:G,6,0),25)</f>
        <v>18</v>
      </c>
      <c r="T39" s="23" t="str">
        <f>IFERROR(VLOOKUP(A39,'2026.08.8-9. éjszakai páros'!A:H,2,0),"nem vett részt")</f>
        <v>nem vett részt</v>
      </c>
      <c r="U39" s="23" t="str">
        <f>IFERROR(VLOOKUP(A39,'2026.08.8-9. éjszakai páros'!A:I,3,0),"-")</f>
        <v>-</v>
      </c>
      <c r="V39" s="23" t="str">
        <f>IFERROR(VLOOKUP(A39,'2026.08.8-9. éjszakai páros'!A:J,4,0),"-")</f>
        <v>-</v>
      </c>
      <c r="W39" s="23" t="str">
        <f>IFERROR(VLOOKUP(A39,'2026.08.8-9. éjszakai páros'!A:H,5,0),"-")</f>
        <v>-</v>
      </c>
      <c r="X39" s="23" t="str">
        <f>IFERROR(VLOOKUP(A39,'2026.08.8-9. éjszakai páros'!A:H,6,0),"-")</f>
        <v>-</v>
      </c>
      <c r="Y39" s="33">
        <f>IFERROR(VLOOKUP(A39,'2026.08.8-9. éjszakai páros'!A:H,8,0),25)</f>
        <v>25</v>
      </c>
      <c r="Z39" s="23" t="str">
        <f>IFERROR(VLOOKUP(A39,'2026.09.20. évzáró egyéni'!A:H,2,0),"nem vett részt")</f>
        <v>nem vett részt</v>
      </c>
      <c r="AA39" s="23" t="str">
        <f>IFERROR(VLOOKUP(A39,'2026.09.20. évzáró egyéni'!A:I,3,0),"-")</f>
        <v>-</v>
      </c>
      <c r="AB39" s="23" t="str">
        <f>IFERROR(VLOOKUP(A39,'2026.09.20. évzáró egyéni'!A:H,4,0),"-")</f>
        <v>-</v>
      </c>
      <c r="AC39" s="23" t="str">
        <f>IFERROR(VLOOKUP(A39,'2026.09.20. évzáró egyéni'!A:H,5,0),"-")</f>
        <v>-</v>
      </c>
      <c r="AD39" s="23" t="str">
        <f>IFERROR(VLOOKUP(A39,'2026.09.20. évzáró egyéni'!A:H,6,0),"-")</f>
        <v>-</v>
      </c>
      <c r="AE39" s="33">
        <f>IFERROR(VLOOKUP(A39,'2026.09.20. évzáró egyéni'!A:H,7,0),25)</f>
        <v>25</v>
      </c>
      <c r="AF39" s="3">
        <f>SUM(B39,H39,N39,T39,Z39)</f>
        <v>31.740000000000002</v>
      </c>
      <c r="AG39" s="20">
        <f>SUM(C39,I39,O39,U39,AA39)</f>
        <v>33</v>
      </c>
      <c r="AH39" s="20">
        <f>VLOOKUP(A39,'helyezési sorrend'!A:J,10,0)</f>
        <v>37</v>
      </c>
      <c r="AI39" s="9" t="str">
        <f>_xlfn.TEXTJOIN(" ",0,COUNT(B39,H39,N39,T39,Z39),"verseny")</f>
        <v>3 verseny</v>
      </c>
      <c r="AK39">
        <v>38</v>
      </c>
      <c r="AM39" s="39" t="str">
        <f t="shared" ref="AM3:AM45" si="0">IFERROR(VLOOKUP(AL39,A:AI,34,0),"-")</f>
        <v>-</v>
      </c>
      <c r="AN39" s="30" t="str">
        <f>IFERROR(VLOOKUP(AL39,A:AI,32,0),"-")</f>
        <v>-</v>
      </c>
      <c r="AO39" s="31" t="str">
        <f>IFERROR(VLOOKUP(AL39,A:AI,33,0),"-")</f>
        <v>-</v>
      </c>
      <c r="AP39" s="1" t="str">
        <f>IFERROR(VLOOKUP(AL39,A:AI,35,0),"-")</f>
        <v>-</v>
      </c>
    </row>
    <row r="40" spans="1:42" x14ac:dyDescent="0.25">
      <c r="A40" s="25" t="s">
        <v>97</v>
      </c>
      <c r="B40" s="18" t="str">
        <f>IFERROR(VLOOKUP(A40,'2026.03.29 évnyitó egyéni'!A:G,3,0),"nem vett részt")</f>
        <v>nem vett részt</v>
      </c>
      <c r="C40" s="20" t="str">
        <f>IFERROR(VLOOKUP(A40,'2026.03.29 évnyitó egyéni'!A:G,4,0),"-")</f>
        <v>-</v>
      </c>
      <c r="D40" s="20" t="str">
        <f>IFERROR(VLOOKUP(A40,'2026.03.29 évnyitó egyéni'!A:G,2,0),"-")</f>
        <v>-</v>
      </c>
      <c r="E40" s="20" t="str">
        <f>IFERROR(VLOOKUP(A40,'2026.03.29 évnyitó egyéni'!A:H,8,0),"-")</f>
        <v>-</v>
      </c>
      <c r="F40" s="18" t="str">
        <f>IFERROR(VLOOKUP(A40,'2026.03.29 évnyitó egyéni'!A:G,5,0),"-")</f>
        <v>-</v>
      </c>
      <c r="G40" s="15">
        <f>IFERROR(VLOOKUP(A40,'2026.03.29 évnyitó egyéni'!A:G,7,0),25)</f>
        <v>25</v>
      </c>
      <c r="H40" s="18">
        <f>IFERROR(VLOOKUP(A40,'2026.05.9-10 20 órás páros'!A:C,3,0),"nem vett részt")</f>
        <v>19.899999999999999</v>
      </c>
      <c r="I40" s="20">
        <f>IFERROR(VLOOKUP(A40,'2026.05.9-10 20 órás páros'!A:F,4,0),"-")</f>
        <v>15</v>
      </c>
      <c r="J40" s="20">
        <f>IFERROR(VLOOKUP(A40,'2026.05.9-10 20 órás páros'!A:G,2,0),"-")</f>
        <v>56</v>
      </c>
      <c r="K40" s="20" t="str">
        <f>IFERROR(VLOOKUP(A40,'2026.05.9-10 20 órás páros'!A:H,8,0),"-")</f>
        <v>A</v>
      </c>
      <c r="L40" s="20" t="str">
        <f>IFERROR(VLOOKUP(A40,'2026.05.9-10 20 órás páros'!A:I,5,0),"-")</f>
        <v>páros</v>
      </c>
      <c r="M40" s="20">
        <f>IFERROR(VLOOKUP(A40,'2026.05.9-10 20 órás páros'!A:I,6,0),25)</f>
        <v>8</v>
      </c>
      <c r="N40" s="14" t="str">
        <f>IFERROR(VLOOKUP(A40,'2026.06.07 nyári egyéni'!A:D,3,0),"nem vett részt")</f>
        <v>nem vett részt</v>
      </c>
      <c r="O40" s="33" t="str">
        <f>IFERROR(VLOOKUP(A40,'2026.06.07 nyári egyéni'!A:AB,4,0),"-")</f>
        <v>-</v>
      </c>
      <c r="P40" s="33" t="str">
        <f>IFERROR(VLOOKUP(A40,'2026.06.07 nyári egyéni'!A:AC,2,0),"-")</f>
        <v>-</v>
      </c>
      <c r="Q40" s="33" t="str">
        <f>IFERROR(VLOOKUP(A40,'2026.06.07 nyári egyéni'!A:AD,8,0),"-")</f>
        <v>-</v>
      </c>
      <c r="R40" s="33" t="str">
        <f>IFERROR(VLOOKUP(A40,'2026.06.07 nyári egyéni'!A:G,5,0),"-")</f>
        <v>-</v>
      </c>
      <c r="S40" s="20">
        <f>IFERROR(VLOOKUP(A40,'2026.06.07 nyári egyéni'!A:G,6,0),25)</f>
        <v>25</v>
      </c>
      <c r="T40" s="23" t="str">
        <f>IFERROR(VLOOKUP(A40,'2026.08.8-9. éjszakai páros'!A:H,2,0),"nem vett részt")</f>
        <v>nem vett részt</v>
      </c>
      <c r="U40" s="23" t="str">
        <f>IFERROR(VLOOKUP(A40,'2026.08.8-9. éjszakai páros'!A:I,3,0),"-")</f>
        <v>-</v>
      </c>
      <c r="V40" s="23" t="str">
        <f>IFERROR(VLOOKUP(A40,'2026.08.8-9. éjszakai páros'!A:J,4,0),"-")</f>
        <v>-</v>
      </c>
      <c r="W40" s="23" t="str">
        <f>IFERROR(VLOOKUP(A40,'2026.08.8-9. éjszakai páros'!A:H,5,0),"-")</f>
        <v>-</v>
      </c>
      <c r="X40" s="23" t="str">
        <f>IFERROR(VLOOKUP(A40,'2026.08.8-9. éjszakai páros'!A:H,6,0),"-")</f>
        <v>-</v>
      </c>
      <c r="Y40" s="33">
        <f>IFERROR(VLOOKUP(A40,'2026.08.8-9. éjszakai páros'!A:H,8,0),25)</f>
        <v>25</v>
      </c>
      <c r="Z40" s="23" t="str">
        <f>IFERROR(VLOOKUP(A40,'2026.09.20. évzáró egyéni'!A:H,2,0),"nem vett részt")</f>
        <v>nem vett részt</v>
      </c>
      <c r="AA40" s="23" t="str">
        <f>IFERROR(VLOOKUP(A40,'2026.09.20. évzáró egyéni'!A:I,3,0),"-")</f>
        <v>-</v>
      </c>
      <c r="AB40" s="23" t="str">
        <f>IFERROR(VLOOKUP(A40,'2026.09.20. évzáró egyéni'!A:H,4,0),"-")</f>
        <v>-</v>
      </c>
      <c r="AC40" s="23" t="str">
        <f>IFERROR(VLOOKUP(A40,'2026.09.20. évzáró egyéni'!A:H,5,0),"-")</f>
        <v>-</v>
      </c>
      <c r="AD40" s="23" t="str">
        <f>IFERROR(VLOOKUP(A40,'2026.09.20. évzáró egyéni'!A:H,6,0),"-")</f>
        <v>-</v>
      </c>
      <c r="AE40" s="33">
        <f>IFERROR(VLOOKUP(A40,'2026.09.20. évzáró egyéni'!A:H,7,0),25)</f>
        <v>25</v>
      </c>
      <c r="AF40" s="3">
        <f>SUM(B40,H40,N40,T40,Z40)</f>
        <v>19.899999999999999</v>
      </c>
      <c r="AG40" s="20">
        <f>SUM(C40,I40,O40,U40,AA40)</f>
        <v>15</v>
      </c>
      <c r="AH40" s="20">
        <f>VLOOKUP(A40,'helyezési sorrend'!A:J,10,0)</f>
        <v>58</v>
      </c>
      <c r="AI40" s="9" t="str">
        <f>_xlfn.TEXTJOIN(" ",0,COUNT(B40,H40,N40,T40,Z40),"verseny")</f>
        <v>1 verseny</v>
      </c>
      <c r="AK40">
        <v>39</v>
      </c>
      <c r="AM40" s="39" t="str">
        <f t="shared" si="0"/>
        <v>-</v>
      </c>
      <c r="AN40" s="30" t="str">
        <f>IFERROR(VLOOKUP(AL40,A:AI,32,0),"-")</f>
        <v>-</v>
      </c>
      <c r="AO40" s="31" t="str">
        <f>IFERROR(VLOOKUP(AL40,A:AI,33,0),"-")</f>
        <v>-</v>
      </c>
      <c r="AP40" s="1" t="str">
        <f>IFERROR(VLOOKUP(AL40,A:AI,35,0),"-")</f>
        <v>-</v>
      </c>
    </row>
    <row r="41" spans="1:42" x14ac:dyDescent="0.25">
      <c r="A41" s="26" t="s">
        <v>6</v>
      </c>
      <c r="B41" s="18">
        <f>IFERROR(VLOOKUP(A41,'2026.03.29 évnyitó egyéni'!A:G,3,0),"nem vett részt")</f>
        <v>0.78</v>
      </c>
      <c r="C41" s="20">
        <f>IFERROR(VLOOKUP(A41,'2026.03.29 évnyitó egyéni'!A:G,4,0),"-")</f>
        <v>1</v>
      </c>
      <c r="D41" s="20">
        <f>IFERROR(VLOOKUP(A41,'2026.03.29 évnyitó egyéni'!A:G,2,0),"-")</f>
        <v>2</v>
      </c>
      <c r="E41" s="20" t="str">
        <f>IFERROR(VLOOKUP(A41,'2026.03.29 évnyitó egyéni'!A:H,8,0),"-")</f>
        <v>A</v>
      </c>
      <c r="F41" s="18" t="str">
        <f>IFERROR(VLOOKUP(A41,'2026.03.29 évnyitó egyéni'!A:G,5,0),"-")</f>
        <v>egyéni</v>
      </c>
      <c r="G41" s="15">
        <f>IFERROR(VLOOKUP(A41,'2026.03.29 évnyitó egyéni'!A:G,7,0),25)</f>
        <v>14</v>
      </c>
      <c r="H41" s="18">
        <f>IFERROR(VLOOKUP(A41,'2026.05.9-10 20 órás páros'!A:C,3,0),"nem vett részt")</f>
        <v>30.63</v>
      </c>
      <c r="I41" s="20">
        <f>IFERROR(VLOOKUP(A41,'2026.05.9-10 20 órás páros'!A:F,4,0),"-")</f>
        <v>12</v>
      </c>
      <c r="J41" s="20">
        <f>IFERROR(VLOOKUP(A41,'2026.05.9-10 20 órás páros'!A:G,2,0),"-")</f>
        <v>14</v>
      </c>
      <c r="K41" s="20" t="str">
        <f>IFERROR(VLOOKUP(A41,'2026.05.9-10 20 órás páros'!A:H,8,0),"-")</f>
        <v>B</v>
      </c>
      <c r="L41" s="20" t="str">
        <f>IFERROR(VLOOKUP(A41,'2026.05.9-10 20 órás páros'!A:I,5,0),"-")</f>
        <v>páros</v>
      </c>
      <c r="M41" s="20">
        <f>IFERROR(VLOOKUP(A41,'2026.05.9-10 20 órás páros'!A:I,6,0),25)</f>
        <v>9</v>
      </c>
      <c r="N41" s="14" t="str">
        <f>IFERROR(VLOOKUP(A41,'2026.06.07 nyári egyéni'!A:D,3,0),"nem vett részt")</f>
        <v>nem vett részt</v>
      </c>
      <c r="O41" s="33" t="str">
        <f>IFERROR(VLOOKUP(A41,'2026.06.07 nyári egyéni'!A:AB,4,0),"-")</f>
        <v>-</v>
      </c>
      <c r="P41" s="33" t="str">
        <f>IFERROR(VLOOKUP(A41,'2026.06.07 nyári egyéni'!A:AC,2,0),"-")</f>
        <v>-</v>
      </c>
      <c r="Q41" s="33" t="str">
        <f>IFERROR(VLOOKUP(A41,'2026.06.07 nyári egyéni'!A:AD,8,0),"-")</f>
        <v>-</v>
      </c>
      <c r="R41" s="33" t="str">
        <f>IFERROR(VLOOKUP(A41,'2026.06.07 nyári egyéni'!A:G,5,0),"-")</f>
        <v>-</v>
      </c>
      <c r="S41" s="20">
        <f>IFERROR(VLOOKUP(A41,'2026.06.07 nyári egyéni'!A:G,6,0),25)</f>
        <v>25</v>
      </c>
      <c r="T41" s="23" t="str">
        <f>IFERROR(VLOOKUP(A41,'2026.08.8-9. éjszakai páros'!A:H,2,0),"nem vett részt")</f>
        <v>nem vett részt</v>
      </c>
      <c r="U41" s="23" t="str">
        <f>IFERROR(VLOOKUP(A41,'2026.08.8-9. éjszakai páros'!A:I,3,0),"-")</f>
        <v>-</v>
      </c>
      <c r="V41" s="23" t="str">
        <f>IFERROR(VLOOKUP(A41,'2026.08.8-9. éjszakai páros'!A:J,4,0),"-")</f>
        <v>-</v>
      </c>
      <c r="W41" s="23" t="str">
        <f>IFERROR(VLOOKUP(A41,'2026.08.8-9. éjszakai páros'!A:H,5,0),"-")</f>
        <v>-</v>
      </c>
      <c r="X41" s="23" t="str">
        <f>IFERROR(VLOOKUP(A41,'2026.08.8-9. éjszakai páros'!A:H,6,0),"-")</f>
        <v>-</v>
      </c>
      <c r="Y41" s="33">
        <f>IFERROR(VLOOKUP(A41,'2026.08.8-9. éjszakai páros'!A:H,8,0),25)</f>
        <v>25</v>
      </c>
      <c r="Z41" s="23" t="str">
        <f>IFERROR(VLOOKUP(A41,'2026.09.20. évzáró egyéni'!A:H,2,0),"nem vett részt")</f>
        <v>nem vett részt</v>
      </c>
      <c r="AA41" s="23" t="str">
        <f>IFERROR(VLOOKUP(A41,'2026.09.20. évzáró egyéni'!A:I,3,0),"-")</f>
        <v>-</v>
      </c>
      <c r="AB41" s="23" t="str">
        <f>IFERROR(VLOOKUP(A41,'2026.09.20. évzáró egyéni'!A:H,4,0),"-")</f>
        <v>-</v>
      </c>
      <c r="AC41" s="23" t="str">
        <f>IFERROR(VLOOKUP(A41,'2026.09.20. évzáró egyéni'!A:H,5,0),"-")</f>
        <v>-</v>
      </c>
      <c r="AD41" s="23" t="str">
        <f>IFERROR(VLOOKUP(A41,'2026.09.20. évzáró egyéni'!A:H,6,0),"-")</f>
        <v>-</v>
      </c>
      <c r="AE41" s="33">
        <f>IFERROR(VLOOKUP(A41,'2026.09.20. évzáró egyéni'!A:H,7,0),25)</f>
        <v>25</v>
      </c>
      <c r="AF41" s="3">
        <f>SUM(B41,H41,N41,T41,Z41)</f>
        <v>31.41</v>
      </c>
      <c r="AG41" s="20">
        <f>SUM(C41,I41,O41,U41,AA41)</f>
        <v>13</v>
      </c>
      <c r="AH41" s="20">
        <f>VLOOKUP(A41,'helyezési sorrend'!A:J,10,0)</f>
        <v>48</v>
      </c>
      <c r="AI41" s="9" t="str">
        <f>_xlfn.TEXTJOIN(" ",0,COUNT(B41,H41,N41,T41,Z41),"verseny")</f>
        <v>2 verseny</v>
      </c>
      <c r="AK41">
        <v>40</v>
      </c>
      <c r="AM41" s="39" t="str">
        <f t="shared" si="0"/>
        <v>-</v>
      </c>
      <c r="AN41" s="30" t="str">
        <f>IFERROR(VLOOKUP(AL41,A:AI,32,0),"-")</f>
        <v>-</v>
      </c>
      <c r="AO41" s="31" t="str">
        <f>IFERROR(VLOOKUP(AL41,A:AI,33,0),"-")</f>
        <v>-</v>
      </c>
      <c r="AP41" s="39" t="str">
        <f>IFERROR(VLOOKUP(AL41,A:AI,35,0),"-")</f>
        <v>-</v>
      </c>
    </row>
    <row r="42" spans="1:42" x14ac:dyDescent="0.25">
      <c r="A42" s="26" t="s">
        <v>75</v>
      </c>
      <c r="B42" s="18" t="str">
        <f>IFERROR(VLOOKUP(A42,'2026.03.29 évnyitó egyéni'!A:G,3,0),"nem vett részt")</f>
        <v>nem vett részt</v>
      </c>
      <c r="C42" s="20" t="str">
        <f>IFERROR(VLOOKUP(A42,'2026.03.29 évnyitó egyéni'!A:G,4,0),"-")</f>
        <v>-</v>
      </c>
      <c r="D42" s="20" t="str">
        <f>IFERROR(VLOOKUP(A42,'2026.03.29 évnyitó egyéni'!A:G,2,0),"-")</f>
        <v>-</v>
      </c>
      <c r="E42" s="20" t="str">
        <f>IFERROR(VLOOKUP(A42,'2026.03.29 évnyitó egyéni'!A:H,8,0),"-")</f>
        <v>-</v>
      </c>
      <c r="F42" s="18" t="str">
        <f>IFERROR(VLOOKUP(A42,'2026.03.29 évnyitó egyéni'!A:G,5,0),"-")</f>
        <v>-</v>
      </c>
      <c r="G42" s="15">
        <f>IFERROR(VLOOKUP(A42,'2026.03.29 évnyitó egyéni'!A:G,7,0),25)</f>
        <v>25</v>
      </c>
      <c r="H42" s="18">
        <f>IFERROR(VLOOKUP(A42,'2026.05.9-10 20 órás páros'!A:C,3,0),"nem vett részt")</f>
        <v>43.980000000000004</v>
      </c>
      <c r="I42" s="20">
        <f>IFERROR(VLOOKUP(A42,'2026.05.9-10 20 órás páros'!A:F,4,0),"-")</f>
        <v>13</v>
      </c>
      <c r="J42" s="20">
        <f>IFERROR(VLOOKUP(A42,'2026.05.9-10 20 órás páros'!A:G,2,0),"-")</f>
        <v>13</v>
      </c>
      <c r="K42" s="20" t="str">
        <f>IFERROR(VLOOKUP(A42,'2026.05.9-10 20 órás páros'!A:H,8,0),"-")</f>
        <v>B</v>
      </c>
      <c r="L42" s="20" t="str">
        <f>IFERROR(VLOOKUP(A42,'2026.05.9-10 20 órás páros'!A:I,5,0),"-")</f>
        <v>páros</v>
      </c>
      <c r="M42" s="20">
        <f>IFERROR(VLOOKUP(A42,'2026.05.9-10 20 órás páros'!A:I,6,0),25)</f>
        <v>9</v>
      </c>
      <c r="N42" s="14">
        <f>IFERROR(VLOOKUP(A42,'2026.06.07 nyári egyéni'!A:D,3,0),"nem vett részt")</f>
        <v>4.04</v>
      </c>
      <c r="O42" s="33">
        <f>IFERROR(VLOOKUP(A42,'2026.06.07 nyári egyéni'!A:AB,4,0),"-")</f>
        <v>6</v>
      </c>
      <c r="P42" s="33">
        <f>IFERROR(VLOOKUP(A42,'2026.06.07 nyári egyéni'!A:AC,2,0),"-")</f>
        <v>25</v>
      </c>
      <c r="Q42" s="33" t="str">
        <f>IFERROR(VLOOKUP(A42,'2026.06.07 nyári egyéni'!A:AD,8,0),"-")</f>
        <v>B</v>
      </c>
      <c r="R42" s="33" t="str">
        <f>IFERROR(VLOOKUP(A42,'2026.06.07 nyári egyéni'!A:G,5,0),"-")</f>
        <v>egyéni</v>
      </c>
      <c r="S42" s="20">
        <f>IFERROR(VLOOKUP(A42,'2026.06.07 nyári egyéni'!A:G,6,0),25)</f>
        <v>21</v>
      </c>
      <c r="T42" s="23" t="str">
        <f>IFERROR(VLOOKUP(A42,'2026.08.8-9. éjszakai páros'!A:H,2,0),"nem vett részt")</f>
        <v>nem vett részt</v>
      </c>
      <c r="U42" s="23" t="str">
        <f>IFERROR(VLOOKUP(A42,'2026.08.8-9. éjszakai páros'!A:I,3,0),"-")</f>
        <v>-</v>
      </c>
      <c r="V42" s="23" t="str">
        <f>IFERROR(VLOOKUP(A42,'2026.08.8-9. éjszakai páros'!A:J,4,0),"-")</f>
        <v>-</v>
      </c>
      <c r="W42" s="23" t="str">
        <f>IFERROR(VLOOKUP(A42,'2026.08.8-9. éjszakai páros'!A:H,5,0),"-")</f>
        <v>-</v>
      </c>
      <c r="X42" s="23" t="str">
        <f>IFERROR(VLOOKUP(A42,'2026.08.8-9. éjszakai páros'!A:H,6,0),"-")</f>
        <v>-</v>
      </c>
      <c r="Y42" s="33">
        <f>IFERROR(VLOOKUP(A42,'2026.08.8-9. éjszakai páros'!A:H,8,0),25)</f>
        <v>25</v>
      </c>
      <c r="Z42" s="23" t="str">
        <f>IFERROR(VLOOKUP(A42,'2026.09.20. évzáró egyéni'!A:H,2,0),"nem vett részt")</f>
        <v>nem vett részt</v>
      </c>
      <c r="AA42" s="23" t="str">
        <f>IFERROR(VLOOKUP(A42,'2026.09.20. évzáró egyéni'!A:I,3,0),"-")</f>
        <v>-</v>
      </c>
      <c r="AB42" s="23" t="str">
        <f>IFERROR(VLOOKUP(A42,'2026.09.20. évzáró egyéni'!A:H,4,0),"-")</f>
        <v>-</v>
      </c>
      <c r="AC42" s="23" t="str">
        <f>IFERROR(VLOOKUP(A42,'2026.09.20. évzáró egyéni'!A:H,5,0),"-")</f>
        <v>-</v>
      </c>
      <c r="AD42" s="23" t="str">
        <f>IFERROR(VLOOKUP(A42,'2026.09.20. évzáró egyéni'!A:H,6,0),"-")</f>
        <v>-</v>
      </c>
      <c r="AE42" s="33">
        <f>IFERROR(VLOOKUP(A42,'2026.09.20. évzáró egyéni'!A:H,7,0),25)</f>
        <v>25</v>
      </c>
      <c r="AF42" s="3">
        <f>SUM(B42,H42,N42,T42,Z42)</f>
        <v>48.02</v>
      </c>
      <c r="AG42" s="20">
        <f>SUM(C42,I42,O42,U42,AA42)</f>
        <v>19</v>
      </c>
      <c r="AH42" s="20">
        <f>VLOOKUP(A42,'helyezési sorrend'!A:J,10,0)</f>
        <v>55</v>
      </c>
      <c r="AI42" s="9" t="str">
        <f>_xlfn.TEXTJOIN(" ",0,COUNT(B42,H42,N42,T42,Z42),"verseny")</f>
        <v>2 verseny</v>
      </c>
      <c r="AK42">
        <v>41</v>
      </c>
      <c r="AM42" s="39" t="str">
        <f t="shared" si="0"/>
        <v>-</v>
      </c>
      <c r="AN42" s="30" t="str">
        <f>IFERROR(VLOOKUP(AL42,A:AI,32,0),"-")</f>
        <v>-</v>
      </c>
      <c r="AO42" s="31" t="str">
        <f>IFERROR(VLOOKUP(AL42,A:AI,33,0),"-")</f>
        <v>-</v>
      </c>
      <c r="AP42" s="39" t="str">
        <f>IFERROR(VLOOKUP(AL42,A:AI,35,0),"-")</f>
        <v>-</v>
      </c>
    </row>
    <row r="43" spans="1:42" x14ac:dyDescent="0.25">
      <c r="A43" s="26" t="s">
        <v>157</v>
      </c>
      <c r="B43" s="18" t="str">
        <f>IFERROR(VLOOKUP(A43,'2026.03.29 évnyitó egyéni'!A:G,3,0),"nem vett részt")</f>
        <v>nem vett részt</v>
      </c>
      <c r="C43" s="20" t="str">
        <f>IFERROR(VLOOKUP(A43,'2026.03.29 évnyitó egyéni'!A:G,4,0),"-")</f>
        <v>-</v>
      </c>
      <c r="D43" s="20" t="str">
        <f>IFERROR(VLOOKUP(A43,'2026.03.29 évnyitó egyéni'!A:G,2,0),"-")</f>
        <v>-</v>
      </c>
      <c r="E43" s="20" t="str">
        <f>IFERROR(VLOOKUP(A43,'2026.03.29 évnyitó egyéni'!A:H,8,0),"-")</f>
        <v>-</v>
      </c>
      <c r="F43" s="18" t="str">
        <f>IFERROR(VLOOKUP(A43,'2026.03.29 évnyitó egyéni'!A:G,5,0),"-")</f>
        <v>-</v>
      </c>
      <c r="G43" s="15">
        <f>IFERROR(VLOOKUP(A43,'2026.03.29 évnyitó egyéni'!A:G,7,0),25)</f>
        <v>25</v>
      </c>
      <c r="H43" s="18" t="str">
        <f>IFERROR(VLOOKUP(A43,'2026.05.9-10 20 órás páros'!A:C,3,0),"nem vett részt")</f>
        <v>nem vett részt</v>
      </c>
      <c r="I43" s="20" t="str">
        <f>IFERROR(VLOOKUP(A43,'2026.05.9-10 20 órás páros'!A:F,4,0),"-")</f>
        <v>-</v>
      </c>
      <c r="J43" s="20" t="str">
        <f>IFERROR(VLOOKUP(A43,'2026.05.9-10 20 órás páros'!A:G,2,0),"-")</f>
        <v>-</v>
      </c>
      <c r="K43" s="20" t="str">
        <f>IFERROR(VLOOKUP(A43,'2026.05.9-10 20 órás páros'!A:H,8,0),"-")</f>
        <v>-</v>
      </c>
      <c r="L43" s="20" t="str">
        <f>IFERROR(VLOOKUP(A43,'2026.05.9-10 20 órás páros'!A:I,5,0),"-")</f>
        <v>-</v>
      </c>
      <c r="M43" s="20">
        <f>IFERROR(VLOOKUP(A43,'2026.05.9-10 20 órás páros'!A:I,6,0),25)</f>
        <v>25</v>
      </c>
      <c r="N43" s="14">
        <f>IFERROR(VLOOKUP(A43,'2026.06.07 nyári egyéni'!A:D,3,0),"nem vett részt")</f>
        <v>4.5</v>
      </c>
      <c r="O43" s="33">
        <f>IFERROR(VLOOKUP(A43,'2026.06.07 nyári egyéni'!A:AB,4,0),"-")</f>
        <v>6</v>
      </c>
      <c r="P43" s="33">
        <f>IFERROR(VLOOKUP(A43,'2026.06.07 nyári egyéni'!A:AC,2,0),"-")</f>
        <v>11</v>
      </c>
      <c r="Q43" s="33" t="str">
        <f>IFERROR(VLOOKUP(A43,'2026.06.07 nyári egyéni'!A:AD,8,0),"-")</f>
        <v>A</v>
      </c>
      <c r="R43" s="33" t="str">
        <f>IFERROR(VLOOKUP(A43,'2026.06.07 nyári egyéni'!A:G,5,0),"-")</f>
        <v>egyéni</v>
      </c>
      <c r="S43" s="20">
        <f>IFERROR(VLOOKUP(A43,'2026.06.07 nyári egyéni'!A:G,6,0),25)</f>
        <v>23</v>
      </c>
      <c r="T43" s="23" t="str">
        <f>IFERROR(VLOOKUP(A43,'2026.08.8-9. éjszakai páros'!A:H,2,0),"nem vett részt")</f>
        <v>nem vett részt</v>
      </c>
      <c r="U43" s="23" t="str">
        <f>IFERROR(VLOOKUP(A43,'2026.08.8-9. éjszakai páros'!A:I,3,0),"-")</f>
        <v>-</v>
      </c>
      <c r="V43" s="23" t="str">
        <f>IFERROR(VLOOKUP(A43,'2026.08.8-9. éjszakai páros'!A:J,4,0),"-")</f>
        <v>-</v>
      </c>
      <c r="W43" s="23" t="str">
        <f>IFERROR(VLOOKUP(A43,'2026.08.8-9. éjszakai páros'!A:H,5,0),"-")</f>
        <v>-</v>
      </c>
      <c r="X43" s="23" t="str">
        <f>IFERROR(VLOOKUP(A43,'2026.08.8-9. éjszakai páros'!A:H,6,0),"-")</f>
        <v>-</v>
      </c>
      <c r="Y43" s="33">
        <f>IFERROR(VLOOKUP(A43,'2026.08.8-9. éjszakai páros'!A:H,8,0),25)</f>
        <v>25</v>
      </c>
      <c r="Z43" s="23" t="str">
        <f>IFERROR(VLOOKUP(A43,'2026.09.20. évzáró egyéni'!A:H,2,0),"nem vett részt")</f>
        <v>nem vett részt</v>
      </c>
      <c r="AA43" s="23" t="str">
        <f>IFERROR(VLOOKUP(A43,'2026.09.20. évzáró egyéni'!A:I,3,0),"-")</f>
        <v>-</v>
      </c>
      <c r="AB43" s="23" t="str">
        <f>IFERROR(VLOOKUP(A43,'2026.09.20. évzáró egyéni'!A:H,4,0),"-")</f>
        <v>-</v>
      </c>
      <c r="AC43" s="23" t="str">
        <f>IFERROR(VLOOKUP(A43,'2026.09.20. évzáró egyéni'!A:H,5,0),"-")</f>
        <v>-</v>
      </c>
      <c r="AD43" s="23" t="str">
        <f>IFERROR(VLOOKUP(A43,'2026.09.20. évzáró egyéni'!A:H,6,0),"-")</f>
        <v>-</v>
      </c>
      <c r="AE43" s="33">
        <f>IFERROR(VLOOKUP(A43,'2026.09.20. évzáró egyéni'!A:H,7,0),25)</f>
        <v>25</v>
      </c>
      <c r="AF43" s="3">
        <f>SUM(B43,H43,N43,T43,Z43)</f>
        <v>4.5</v>
      </c>
      <c r="AG43" s="20">
        <f>SUM(C43,I43,O43,U43,AA43)</f>
        <v>6</v>
      </c>
      <c r="AH43" s="20">
        <f>VLOOKUP(A43,'helyezési sorrend'!A:J,10,0)</f>
        <v>73</v>
      </c>
      <c r="AI43" s="9" t="str">
        <f>_xlfn.TEXTJOIN(" ",0,COUNT(B43,H43,N43,T43,Z43),"verseny")</f>
        <v>1 verseny</v>
      </c>
      <c r="AK43">
        <v>41</v>
      </c>
      <c r="AM43" s="39" t="str">
        <f t="shared" si="0"/>
        <v>-</v>
      </c>
      <c r="AN43" s="30" t="str">
        <f>IFERROR(VLOOKUP(AL43,A:AI,32,0),"-")</f>
        <v>-</v>
      </c>
      <c r="AO43" s="31" t="str">
        <f>IFERROR(VLOOKUP(AL43,A:AI,33,0),"-")</f>
        <v>-</v>
      </c>
      <c r="AP43" s="39" t="str">
        <f>IFERROR(VLOOKUP(AL43,A:AI,35,0),"-")</f>
        <v>-</v>
      </c>
    </row>
    <row r="44" spans="1:42" x14ac:dyDescent="0.25">
      <c r="A44" s="26" t="s">
        <v>78</v>
      </c>
      <c r="B44" s="18" t="str">
        <f>IFERROR(VLOOKUP(A44,'2026.03.29 évnyitó egyéni'!A:G,3,0),"nem vett részt")</f>
        <v>nem vett részt</v>
      </c>
      <c r="C44" s="20" t="str">
        <f>IFERROR(VLOOKUP(A44,'2026.03.29 évnyitó egyéni'!A:G,4,0),"-")</f>
        <v>-</v>
      </c>
      <c r="D44" s="20" t="str">
        <f>IFERROR(VLOOKUP(A44,'2026.03.29 évnyitó egyéni'!A:G,2,0),"-")</f>
        <v>-</v>
      </c>
      <c r="E44" s="20" t="str">
        <f>IFERROR(VLOOKUP(A44,'2026.03.29 évnyitó egyéni'!A:H,8,0),"-")</f>
        <v>-</v>
      </c>
      <c r="F44" s="18" t="str">
        <f>IFERROR(VLOOKUP(A44,'2026.03.29 évnyitó egyéni'!A:G,5,0),"-")</f>
        <v>-</v>
      </c>
      <c r="G44" s="15">
        <f>IFERROR(VLOOKUP(A44,'2026.03.29 évnyitó egyéni'!A:G,7,0),25)</f>
        <v>25</v>
      </c>
      <c r="H44" s="18">
        <f>IFERROR(VLOOKUP(A44,'2026.05.9-10 20 órás páros'!A:C,3,0),"nem vett részt")</f>
        <v>12.98</v>
      </c>
      <c r="I44" s="20">
        <f>IFERROR(VLOOKUP(A44,'2026.05.9-10 20 órás páros'!A:F,4,0),"-")</f>
        <v>5</v>
      </c>
      <c r="J44" s="20">
        <f>IFERROR(VLOOKUP(A44,'2026.05.9-10 20 órás páros'!A:G,2,0),"-")</f>
        <v>25</v>
      </c>
      <c r="K44" s="20" t="str">
        <f>IFERROR(VLOOKUP(A44,'2026.05.9-10 20 órás páros'!A:H,8,0),"-")</f>
        <v>B</v>
      </c>
      <c r="L44" s="20" t="str">
        <f>IFERROR(VLOOKUP(A44,'2026.05.9-10 20 órás páros'!A:I,5,0),"-")</f>
        <v>páros</v>
      </c>
      <c r="M44" s="20">
        <f>IFERROR(VLOOKUP(A44,'2026.05.9-10 20 órás páros'!A:I,6,0),25)</f>
        <v>11</v>
      </c>
      <c r="N44" s="14" t="str">
        <f>IFERROR(VLOOKUP(A44,'2026.06.07 nyári egyéni'!A:D,3,0),"nem vett részt")</f>
        <v>nem vett részt</v>
      </c>
      <c r="O44" s="33" t="str">
        <f>IFERROR(VLOOKUP(A44,'2026.06.07 nyári egyéni'!A:AB,4,0),"-")</f>
        <v>-</v>
      </c>
      <c r="P44" s="33" t="str">
        <f>IFERROR(VLOOKUP(A44,'2026.06.07 nyári egyéni'!A:AC,2,0),"-")</f>
        <v>-</v>
      </c>
      <c r="Q44" s="33" t="str">
        <f>IFERROR(VLOOKUP(A44,'2026.06.07 nyári egyéni'!A:AD,8,0),"-")</f>
        <v>-</v>
      </c>
      <c r="R44" s="33" t="str">
        <f>IFERROR(VLOOKUP(A44,'2026.06.07 nyári egyéni'!A:G,5,0),"-")</f>
        <v>-</v>
      </c>
      <c r="S44" s="20">
        <f>IFERROR(VLOOKUP(A44,'2026.06.07 nyári egyéni'!A:G,6,0),25)</f>
        <v>25</v>
      </c>
      <c r="T44" s="23" t="str">
        <f>IFERROR(VLOOKUP(A44,'2026.08.8-9. éjszakai páros'!A:H,2,0),"nem vett részt")</f>
        <v>nem vett részt</v>
      </c>
      <c r="U44" s="23" t="str">
        <f>IFERROR(VLOOKUP(A44,'2026.08.8-9. éjszakai páros'!A:I,3,0),"-")</f>
        <v>-</v>
      </c>
      <c r="V44" s="23" t="str">
        <f>IFERROR(VLOOKUP(A44,'2026.08.8-9. éjszakai páros'!A:J,4,0),"-")</f>
        <v>-</v>
      </c>
      <c r="W44" s="23" t="str">
        <f>IFERROR(VLOOKUP(A44,'2026.08.8-9. éjszakai páros'!A:H,5,0),"-")</f>
        <v>-</v>
      </c>
      <c r="X44" s="23" t="str">
        <f>IFERROR(VLOOKUP(A44,'2026.08.8-9. éjszakai páros'!A:H,6,0),"-")</f>
        <v>-</v>
      </c>
      <c r="Y44" s="33">
        <f>IFERROR(VLOOKUP(A44,'2026.08.8-9. éjszakai páros'!A:H,8,0),25)</f>
        <v>25</v>
      </c>
      <c r="Z44" s="23" t="str">
        <f>IFERROR(VLOOKUP(A44,'2026.09.20. évzáró egyéni'!A:H,2,0),"nem vett részt")</f>
        <v>nem vett részt</v>
      </c>
      <c r="AA44" s="23" t="str">
        <f>IFERROR(VLOOKUP(A44,'2026.09.20. évzáró egyéni'!A:I,3,0),"-")</f>
        <v>-</v>
      </c>
      <c r="AB44" s="23" t="str">
        <f>IFERROR(VLOOKUP(A44,'2026.09.20. évzáró egyéni'!A:H,4,0),"-")</f>
        <v>-</v>
      </c>
      <c r="AC44" s="23" t="str">
        <f>IFERROR(VLOOKUP(A44,'2026.09.20. évzáró egyéni'!A:H,5,0),"-")</f>
        <v>-</v>
      </c>
      <c r="AD44" s="23" t="str">
        <f>IFERROR(VLOOKUP(A44,'2026.09.20. évzáró egyéni'!A:H,6,0),"-")</f>
        <v>-</v>
      </c>
      <c r="AE44" s="33">
        <f>IFERROR(VLOOKUP(A44,'2026.09.20. évzáró egyéni'!A:H,7,0),25)</f>
        <v>25</v>
      </c>
      <c r="AF44" s="3">
        <f>SUM(B44,H44,N44,T44,Z44)</f>
        <v>12.98</v>
      </c>
      <c r="AG44" s="20">
        <f>SUM(C44,I44,O44,U44,AA44)</f>
        <v>5</v>
      </c>
      <c r="AH44" s="20">
        <f>VLOOKUP(A44,'helyezési sorrend'!A:J,10,0)</f>
        <v>61</v>
      </c>
      <c r="AI44" s="9" t="str">
        <f>_xlfn.TEXTJOIN(" ",0,COUNT(B44,H44,N44,T44,Z44),"verseny")</f>
        <v>1 verseny</v>
      </c>
      <c r="AK44">
        <v>41</v>
      </c>
      <c r="AM44" s="39" t="str">
        <f t="shared" si="0"/>
        <v>-</v>
      </c>
      <c r="AN44" s="30" t="str">
        <f>IFERROR(VLOOKUP(AL44,A:AI,32,0),"-")</f>
        <v>-</v>
      </c>
      <c r="AO44" s="31" t="str">
        <f>IFERROR(VLOOKUP(AL44,A:AI,33,0),"-")</f>
        <v>-</v>
      </c>
      <c r="AP44" s="1" t="str">
        <f>IFERROR(VLOOKUP(AL44,A:AI,35,0),"-")</f>
        <v>-</v>
      </c>
    </row>
    <row r="45" spans="1:42" x14ac:dyDescent="0.25">
      <c r="A45" s="26" t="s">
        <v>86</v>
      </c>
      <c r="B45" s="18">
        <f>IFERROR(VLOOKUP(A45,'2026.03.29 évnyitó egyéni'!A:G,3,0),"nem vett részt")</f>
        <v>57.870000000000005</v>
      </c>
      <c r="C45" s="20">
        <f>IFERROR(VLOOKUP(A45,'2026.03.29 évnyitó egyéni'!A:G,4,0),"-")</f>
        <v>21</v>
      </c>
      <c r="D45" s="20">
        <f>IFERROR(VLOOKUP(A45,'2026.03.29 évnyitó egyéni'!A:G,2,0),"-")</f>
        <v>10</v>
      </c>
      <c r="E45" s="20" t="str">
        <f>IFERROR(VLOOKUP(A45,'2026.03.29 évnyitó egyéni'!A:H,8,0),"-")</f>
        <v>A</v>
      </c>
      <c r="F45" s="18" t="str">
        <f>IFERROR(VLOOKUP(A45,'2026.03.29 évnyitó egyéni'!A:G,5,0),"-")</f>
        <v>egyéni</v>
      </c>
      <c r="G45" s="15">
        <f>IFERROR(VLOOKUP(A45,'2026.03.29 évnyitó egyéni'!A:G,7,0),25)</f>
        <v>1</v>
      </c>
      <c r="H45" s="18" t="str">
        <f>IFERROR(VLOOKUP(A45,'2026.05.9-10 20 órás páros'!A:C,3,0),"nem vett részt")</f>
        <v>nem vett részt</v>
      </c>
      <c r="I45" s="20" t="str">
        <f>IFERROR(VLOOKUP(A45,'2026.05.9-10 20 órás páros'!A:F,4,0),"-")</f>
        <v>-</v>
      </c>
      <c r="J45" s="20" t="str">
        <f>IFERROR(VLOOKUP(A45,'2026.05.9-10 20 órás páros'!A:G,2,0),"-")</f>
        <v>-</v>
      </c>
      <c r="K45" s="20" t="str">
        <f>IFERROR(VLOOKUP(A45,'2026.05.9-10 20 órás páros'!A:H,8,0),"-")</f>
        <v>-</v>
      </c>
      <c r="L45" s="20" t="str">
        <f>IFERROR(VLOOKUP(A45,'2026.05.9-10 20 órás páros'!A:I,5,0),"-")</f>
        <v>-</v>
      </c>
      <c r="M45" s="20">
        <f>IFERROR(VLOOKUP(A45,'2026.05.9-10 20 órás páros'!A:I,6,0),25)</f>
        <v>25</v>
      </c>
      <c r="N45" s="14">
        <f>IFERROR(VLOOKUP(A45,'2026.06.07 nyári egyéni'!A:D,3,0),"nem vett részt")</f>
        <v>42.180000000000007</v>
      </c>
      <c r="O45" s="33">
        <f>IFERROR(VLOOKUP(A45,'2026.06.07 nyári egyéni'!A:AB,4,0),"-")</f>
        <v>14</v>
      </c>
      <c r="P45" s="33">
        <f>IFERROR(VLOOKUP(A45,'2026.06.07 nyári egyéni'!A:AC,2,0),"-")</f>
        <v>16</v>
      </c>
      <c r="Q45" s="33" t="str">
        <f>IFERROR(VLOOKUP(A45,'2026.06.07 nyári egyéni'!A:AD,8,0),"-")</f>
        <v>B</v>
      </c>
      <c r="R45" s="33" t="str">
        <f>IFERROR(VLOOKUP(A45,'2026.06.07 nyári egyéni'!A:G,5,0),"-")</f>
        <v>egyéni</v>
      </c>
      <c r="S45" s="20">
        <f>IFERROR(VLOOKUP(A45,'2026.06.07 nyári egyéni'!A:G,6,0),25)</f>
        <v>5</v>
      </c>
      <c r="T45" s="23" t="str">
        <f>IFERROR(VLOOKUP(A45,'2026.08.8-9. éjszakai páros'!A:H,2,0),"nem vett részt")</f>
        <v>nem vett részt</v>
      </c>
      <c r="U45" s="23" t="str">
        <f>IFERROR(VLOOKUP(A45,'2026.08.8-9. éjszakai páros'!A:I,3,0),"-")</f>
        <v>-</v>
      </c>
      <c r="V45" s="23" t="str">
        <f>IFERROR(VLOOKUP(A45,'2026.08.8-9. éjszakai páros'!A:J,4,0),"-")</f>
        <v>-</v>
      </c>
      <c r="W45" s="23" t="str">
        <f>IFERROR(VLOOKUP(A45,'2026.08.8-9. éjszakai páros'!A:H,5,0),"-")</f>
        <v>-</v>
      </c>
      <c r="X45" s="23" t="str">
        <f>IFERROR(VLOOKUP(A45,'2026.08.8-9. éjszakai páros'!A:H,6,0),"-")</f>
        <v>-</v>
      </c>
      <c r="Y45" s="33">
        <f>IFERROR(VLOOKUP(A45,'2026.08.8-9. éjszakai páros'!A:H,8,0),25)</f>
        <v>25</v>
      </c>
      <c r="Z45" s="23" t="str">
        <f>IFERROR(VLOOKUP(A45,'2026.09.20. évzáró egyéni'!A:H,2,0),"nem vett részt")</f>
        <v>nem vett részt</v>
      </c>
      <c r="AA45" s="23" t="str">
        <f>IFERROR(VLOOKUP(A45,'2026.09.20. évzáró egyéni'!A:I,3,0),"-")</f>
        <v>-</v>
      </c>
      <c r="AB45" s="23" t="str">
        <f>IFERROR(VLOOKUP(A45,'2026.09.20. évzáró egyéni'!A:H,4,0),"-")</f>
        <v>-</v>
      </c>
      <c r="AC45" s="23" t="str">
        <f>IFERROR(VLOOKUP(A45,'2026.09.20. évzáró egyéni'!A:H,5,0),"-")</f>
        <v>-</v>
      </c>
      <c r="AD45" s="23" t="str">
        <f>IFERROR(VLOOKUP(A45,'2026.09.20. évzáró egyéni'!A:H,6,0),"-")</f>
        <v>-</v>
      </c>
      <c r="AE45" s="33">
        <f>IFERROR(VLOOKUP(A45,'2026.09.20. évzáró egyéni'!A:H,7,0),25)</f>
        <v>25</v>
      </c>
      <c r="AF45" s="3">
        <f>SUM(B45,H45,N45,T45,Z45)</f>
        <v>100.05000000000001</v>
      </c>
      <c r="AG45" s="20">
        <f>SUM(C45,I45,O45,U45,AA45)</f>
        <v>35</v>
      </c>
      <c r="AH45" s="20">
        <f>VLOOKUP(A45,'helyezési sorrend'!A:J,10,0)</f>
        <v>31</v>
      </c>
      <c r="AI45" s="9" t="str">
        <f>_xlfn.TEXTJOIN(" ",0,COUNT(B45,H45,N45,T45,Z45),"verseny")</f>
        <v>2 verseny</v>
      </c>
      <c r="AK45">
        <v>41</v>
      </c>
      <c r="AM45" s="39" t="str">
        <f t="shared" si="0"/>
        <v>-</v>
      </c>
      <c r="AN45" s="30" t="str">
        <f>IFERROR(VLOOKUP(AL45,A:AI,32,0),"-")</f>
        <v>-</v>
      </c>
      <c r="AO45" s="31" t="str">
        <f>IFERROR(VLOOKUP(AL45,A:AI,33,0),"-")</f>
        <v>-</v>
      </c>
      <c r="AP45" s="1" t="str">
        <f>IFERROR(VLOOKUP(AL45,A:AI,35,0),"-")</f>
        <v>-</v>
      </c>
    </row>
    <row r="46" spans="1:42" ht="15.75" thickBot="1" x14ac:dyDescent="0.3">
      <c r="A46" s="27"/>
      <c r="B46" s="19"/>
      <c r="C46" s="22"/>
      <c r="D46" s="19"/>
      <c r="E46" s="19"/>
      <c r="F46" s="16"/>
      <c r="G46" s="8"/>
      <c r="H46" s="19"/>
      <c r="I46" s="19"/>
      <c r="J46" s="19"/>
      <c r="K46" s="19"/>
      <c r="L46" s="19"/>
      <c r="M46" s="22"/>
      <c r="N46" s="17"/>
      <c r="O46" s="53"/>
      <c r="P46" s="53"/>
      <c r="Q46" s="53"/>
      <c r="R46" s="54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4"/>
      <c r="AG46" s="4"/>
      <c r="AH46" s="8"/>
      <c r="AI46" s="10"/>
      <c r="AK46">
        <v>42</v>
      </c>
    </row>
    <row r="47" spans="1:42" x14ac:dyDescent="0.25">
      <c r="B47" s="5">
        <f>SUM(B4:B46)</f>
        <v>304.14000000000004</v>
      </c>
      <c r="C47" s="5"/>
      <c r="D47" s="5"/>
      <c r="E47" s="5"/>
      <c r="H47" s="5">
        <f>SUM(H4:H46)</f>
        <v>1267.5200000000002</v>
      </c>
      <c r="I47" s="5"/>
      <c r="J47" s="5"/>
      <c r="K47" s="5"/>
      <c r="N47" s="5">
        <f>SUM(N4:N46)</f>
        <v>565.79</v>
      </c>
      <c r="O47" s="5"/>
      <c r="P47" s="5"/>
      <c r="Q47" s="5"/>
      <c r="AF47" s="5">
        <f>SUM(AF4:AF46)</f>
        <v>2137.4500000000003</v>
      </c>
      <c r="AG47" s="5"/>
    </row>
    <row r="48" spans="1:42" x14ac:dyDescent="0.25">
      <c r="B48" s="5"/>
      <c r="C48" s="5"/>
      <c r="D48" s="5"/>
      <c r="E48" s="5"/>
      <c r="H48" s="5"/>
      <c r="I48" s="5"/>
      <c r="J48" s="5"/>
      <c r="K48" s="5"/>
      <c r="N48" s="5"/>
      <c r="O48" s="5"/>
      <c r="P48" s="5"/>
      <c r="Q48" s="5"/>
      <c r="AF48" s="5"/>
      <c r="AG48" s="5"/>
    </row>
    <row r="49" spans="2:33" x14ac:dyDescent="0.25">
      <c r="B49" s="5"/>
      <c r="C49" s="5"/>
      <c r="D49" s="5"/>
      <c r="E49" s="5"/>
      <c r="H49" s="5"/>
      <c r="I49" s="5"/>
      <c r="J49" s="5"/>
      <c r="K49" s="5"/>
      <c r="N49" s="5"/>
      <c r="O49" s="5"/>
      <c r="P49" s="5"/>
      <c r="Q49" s="5"/>
      <c r="AF49" s="5"/>
      <c r="AG49" s="5"/>
    </row>
    <row r="50" spans="2:33" x14ac:dyDescent="0.25">
      <c r="B50" s="5"/>
      <c r="C50" s="5"/>
      <c r="D50" s="5"/>
      <c r="E50" s="5"/>
      <c r="H50" s="5"/>
      <c r="I50" s="5"/>
      <c r="J50" s="5"/>
      <c r="K50" s="5"/>
      <c r="N50" s="5"/>
      <c r="O50" s="5"/>
      <c r="P50" s="5"/>
      <c r="Q50" s="5"/>
      <c r="AF50" s="5"/>
      <c r="AG50" s="5"/>
    </row>
    <row r="51" spans="2:33" x14ac:dyDescent="0.25">
      <c r="B51" s="5"/>
      <c r="C51" s="5"/>
      <c r="D51" s="5"/>
      <c r="E51" s="5"/>
      <c r="H51" s="5"/>
      <c r="I51" s="5"/>
      <c r="J51" s="5"/>
      <c r="K51" s="5"/>
      <c r="N51" s="5"/>
      <c r="O51" s="5"/>
      <c r="P51" s="5"/>
      <c r="Q51" s="5"/>
      <c r="AF51" s="5"/>
      <c r="AG51" s="5"/>
    </row>
    <row r="52" spans="2:33" x14ac:dyDescent="0.25">
      <c r="B52" s="5"/>
      <c r="C52" s="5"/>
      <c r="D52" s="5"/>
      <c r="E52" s="5"/>
      <c r="H52" s="5"/>
      <c r="I52" s="5"/>
      <c r="J52" s="5"/>
      <c r="K52" s="5"/>
      <c r="N52" s="5"/>
      <c r="O52" s="5"/>
      <c r="P52" s="5"/>
      <c r="Q52" s="5"/>
      <c r="AF52" s="5"/>
      <c r="AG52" s="5"/>
    </row>
    <row r="53" spans="2:33" x14ac:dyDescent="0.25">
      <c r="B53" s="5"/>
      <c r="C53" s="5"/>
      <c r="D53" s="5"/>
      <c r="E53" s="5"/>
      <c r="H53" s="5"/>
      <c r="I53" s="5"/>
      <c r="J53" s="5"/>
      <c r="K53" s="5"/>
      <c r="N53" s="5"/>
      <c r="O53" s="5"/>
      <c r="P53" s="5"/>
      <c r="Q53" s="5"/>
      <c r="AF53" s="5"/>
      <c r="AG53" s="5"/>
    </row>
    <row r="54" spans="2:33" x14ac:dyDescent="0.25">
      <c r="B54" s="5"/>
      <c r="C54" s="5"/>
      <c r="D54" s="5"/>
      <c r="E54" s="5"/>
      <c r="H54" s="5"/>
      <c r="I54" s="5"/>
      <c r="J54" s="5"/>
      <c r="K54" s="5"/>
      <c r="N54" s="5"/>
      <c r="O54" s="5"/>
      <c r="P54" s="5"/>
      <c r="Q54" s="5"/>
      <c r="AF54" s="5"/>
      <c r="AG54" s="5"/>
    </row>
    <row r="55" spans="2:33" x14ac:dyDescent="0.25">
      <c r="B55" s="5"/>
      <c r="C55" s="5"/>
      <c r="D55" s="5"/>
      <c r="E55" s="5"/>
      <c r="H55" s="5"/>
      <c r="I55" s="5"/>
      <c r="J55" s="5"/>
      <c r="K55" s="5"/>
      <c r="N55" s="5"/>
      <c r="O55" s="5"/>
      <c r="P55" s="5"/>
      <c r="Q55" s="5"/>
      <c r="AF55" s="5"/>
      <c r="AG55" s="5"/>
    </row>
    <row r="56" spans="2:33" x14ac:dyDescent="0.25">
      <c r="B56" s="5"/>
      <c r="C56" s="5"/>
      <c r="D56" s="5"/>
      <c r="E56" s="5"/>
      <c r="H56" s="5"/>
      <c r="I56" s="5"/>
      <c r="J56" s="5"/>
      <c r="K56" s="5"/>
      <c r="N56" s="5"/>
      <c r="O56" s="5"/>
      <c r="P56" s="5"/>
      <c r="Q56" s="5"/>
      <c r="AF56" s="5"/>
      <c r="AG56" s="5"/>
    </row>
    <row r="57" spans="2:33" x14ac:dyDescent="0.25">
      <c r="B57" s="5"/>
      <c r="C57" s="5"/>
      <c r="D57" s="5"/>
      <c r="E57" s="5"/>
      <c r="H57" s="5"/>
      <c r="I57" s="5"/>
      <c r="J57" s="5"/>
      <c r="K57" s="5"/>
      <c r="N57" s="5"/>
      <c r="O57" s="5"/>
      <c r="P57" s="5"/>
      <c r="Q57" s="5"/>
      <c r="AF57" s="5"/>
      <c r="AG57" s="5"/>
    </row>
    <row r="58" spans="2:33" x14ac:dyDescent="0.25">
      <c r="B58" s="5"/>
      <c r="C58" s="5"/>
      <c r="D58" s="5"/>
      <c r="E58" s="5"/>
      <c r="H58" s="5"/>
      <c r="I58" s="5"/>
      <c r="J58" s="5"/>
      <c r="K58" s="5"/>
      <c r="N58" s="5"/>
      <c r="O58" s="5"/>
      <c r="P58" s="5"/>
      <c r="Q58" s="5"/>
      <c r="AF58" s="5"/>
      <c r="AG58" s="5"/>
    </row>
    <row r="59" spans="2:33" x14ac:dyDescent="0.25">
      <c r="B59" s="5"/>
      <c r="C59" s="5"/>
      <c r="D59" s="5"/>
      <c r="E59" s="5"/>
      <c r="H59" s="5"/>
      <c r="I59" s="5"/>
      <c r="J59" s="5"/>
      <c r="K59" s="5"/>
      <c r="N59" s="5"/>
      <c r="O59" s="5"/>
      <c r="P59" s="5"/>
      <c r="Q59" s="5"/>
      <c r="AF59" s="5"/>
      <c r="AG59" s="5"/>
    </row>
    <row r="60" spans="2:33" x14ac:dyDescent="0.25">
      <c r="B60" s="5"/>
      <c r="C60" s="5"/>
      <c r="D60" s="5"/>
      <c r="E60" s="5"/>
      <c r="H60" s="5"/>
      <c r="I60" s="5"/>
      <c r="J60" s="5"/>
      <c r="K60" s="5"/>
      <c r="N60" s="5"/>
      <c r="O60" s="5"/>
      <c r="P60" s="5"/>
      <c r="Q60" s="5"/>
      <c r="AF60" s="5"/>
      <c r="AG60" s="5"/>
    </row>
    <row r="61" spans="2:33" x14ac:dyDescent="0.25">
      <c r="B61" s="5"/>
      <c r="C61" s="5"/>
      <c r="D61" s="5"/>
      <c r="E61" s="5"/>
      <c r="H61" s="5"/>
      <c r="I61" s="5"/>
      <c r="J61" s="5"/>
      <c r="K61" s="5"/>
      <c r="N61" s="5"/>
      <c r="O61" s="5"/>
      <c r="P61" s="5"/>
      <c r="Q61" s="5"/>
      <c r="AF61" s="5"/>
      <c r="AG61" s="5"/>
    </row>
    <row r="62" spans="2:33" x14ac:dyDescent="0.25">
      <c r="B62" s="5"/>
      <c r="C62" s="5"/>
      <c r="D62" s="5"/>
      <c r="E62" s="5"/>
      <c r="H62" s="5"/>
      <c r="I62" s="5"/>
      <c r="J62" s="5"/>
      <c r="K62" s="5"/>
      <c r="N62" s="5"/>
      <c r="O62" s="5"/>
      <c r="P62" s="5"/>
      <c r="Q62" s="5"/>
      <c r="AF62" s="5"/>
      <c r="AG62" s="5"/>
    </row>
    <row r="63" spans="2:33" x14ac:dyDescent="0.25">
      <c r="B63" s="5"/>
      <c r="C63" s="5"/>
      <c r="D63" s="5"/>
      <c r="E63" s="5"/>
      <c r="H63" s="5"/>
      <c r="I63" s="5"/>
      <c r="J63" s="5"/>
      <c r="K63" s="5"/>
      <c r="N63" s="5"/>
      <c r="O63" s="5"/>
      <c r="P63" s="5"/>
      <c r="Q63" s="5"/>
      <c r="AF63" s="5"/>
      <c r="AG63" s="5"/>
    </row>
    <row r="64" spans="2:33" x14ac:dyDescent="0.25">
      <c r="B64" s="5"/>
      <c r="C64" s="5"/>
      <c r="D64" s="5"/>
      <c r="E64" s="5"/>
      <c r="H64" s="5"/>
      <c r="I64" s="5"/>
      <c r="J64" s="5"/>
      <c r="K64" s="5"/>
      <c r="N64" s="5"/>
      <c r="O64" s="5"/>
      <c r="P64" s="5"/>
      <c r="Q64" s="5"/>
      <c r="AF64" s="5"/>
      <c r="AG64" s="5"/>
    </row>
    <row r="65" spans="2:33" x14ac:dyDescent="0.25">
      <c r="B65" s="5"/>
      <c r="C65" s="5"/>
      <c r="D65" s="5"/>
      <c r="E65" s="5"/>
      <c r="H65" s="5"/>
      <c r="I65" s="5"/>
      <c r="J65" s="5"/>
      <c r="K65" s="5"/>
      <c r="N65" s="5"/>
      <c r="O65" s="5"/>
      <c r="P65" s="5"/>
      <c r="Q65" s="5"/>
      <c r="AF65" s="5"/>
      <c r="AG65" s="5"/>
    </row>
    <row r="66" spans="2:33" x14ac:dyDescent="0.25">
      <c r="B66" s="5"/>
      <c r="C66" s="5"/>
      <c r="D66" s="5"/>
      <c r="E66" s="5"/>
      <c r="H66" s="5"/>
      <c r="I66" s="5"/>
      <c r="J66" s="5"/>
      <c r="K66" s="5"/>
      <c r="N66" s="5"/>
      <c r="O66" s="5"/>
      <c r="P66" s="5"/>
      <c r="Q66" s="5"/>
      <c r="AF66" s="5"/>
      <c r="AG66" s="5"/>
    </row>
    <row r="67" spans="2:33" x14ac:dyDescent="0.25">
      <c r="B67" s="5"/>
      <c r="C67" s="5"/>
      <c r="D67" s="5"/>
      <c r="E67" s="5"/>
      <c r="H67" s="5"/>
      <c r="I67" s="5"/>
      <c r="J67" s="5"/>
      <c r="K67" s="5"/>
      <c r="N67" s="5"/>
      <c r="O67" s="5"/>
      <c r="P67" s="5"/>
      <c r="Q67" s="5"/>
      <c r="AF67" s="5"/>
      <c r="AG67" s="5"/>
    </row>
    <row r="68" spans="2:33" x14ac:dyDescent="0.25">
      <c r="B68" s="5"/>
      <c r="C68" s="5"/>
      <c r="D68" s="5"/>
      <c r="E68" s="5"/>
      <c r="H68" s="5"/>
      <c r="I68" s="5"/>
      <c r="J68" s="5"/>
      <c r="K68" s="5"/>
      <c r="N68" s="5"/>
      <c r="O68" s="5"/>
      <c r="P68" s="5"/>
      <c r="Q68" s="5"/>
      <c r="AF68" s="5"/>
      <c r="AG68" s="5"/>
    </row>
    <row r="69" spans="2:33" x14ac:dyDescent="0.25">
      <c r="B69" s="5"/>
      <c r="C69" s="5"/>
      <c r="D69" s="5"/>
      <c r="E69" s="5"/>
      <c r="H69" s="5"/>
      <c r="I69" s="5"/>
      <c r="J69" s="5"/>
      <c r="K69" s="5"/>
      <c r="N69" s="5"/>
      <c r="O69" s="5"/>
      <c r="P69" s="5"/>
      <c r="Q69" s="5"/>
      <c r="AF69" s="5"/>
      <c r="AG69" s="5"/>
    </row>
    <row r="70" spans="2:33" x14ac:dyDescent="0.25">
      <c r="B70" s="5"/>
      <c r="C70" s="5"/>
      <c r="D70" s="5"/>
      <c r="E70" s="5"/>
      <c r="H70" s="5"/>
      <c r="I70" s="5"/>
      <c r="J70" s="5"/>
      <c r="K70" s="5"/>
      <c r="N70" s="5"/>
      <c r="O70" s="5"/>
      <c r="P70" s="5"/>
      <c r="Q70" s="5"/>
      <c r="AF70" s="5"/>
      <c r="AG70" s="5"/>
    </row>
    <row r="71" spans="2:33" x14ac:dyDescent="0.25">
      <c r="B71" s="5"/>
      <c r="C71" s="5"/>
      <c r="D71" s="5"/>
      <c r="E71" s="5"/>
      <c r="H71" s="5"/>
      <c r="I71" s="5"/>
      <c r="J71" s="5"/>
      <c r="K71" s="5"/>
      <c r="N71" s="5"/>
      <c r="O71" s="5"/>
      <c r="P71" s="5"/>
      <c r="Q71" s="5"/>
      <c r="AF71" s="5"/>
      <c r="AG71" s="5"/>
    </row>
    <row r="72" spans="2:33" x14ac:dyDescent="0.25">
      <c r="B72" s="5"/>
      <c r="C72" s="5"/>
      <c r="D72" s="5"/>
      <c r="E72" s="5"/>
      <c r="H72" s="5"/>
      <c r="I72" s="5"/>
      <c r="J72" s="5"/>
      <c r="K72" s="5"/>
      <c r="N72" s="5"/>
      <c r="O72" s="5"/>
      <c r="P72" s="5"/>
      <c r="Q72" s="5"/>
      <c r="AF72" s="5"/>
      <c r="AG72" s="5"/>
    </row>
    <row r="73" spans="2:33" x14ac:dyDescent="0.25">
      <c r="B73" s="5"/>
      <c r="C73" s="5"/>
      <c r="D73" s="5"/>
      <c r="E73" s="5"/>
      <c r="H73" s="5"/>
      <c r="I73" s="5"/>
      <c r="J73" s="5"/>
      <c r="K73" s="5"/>
      <c r="N73" s="5"/>
      <c r="O73" s="5"/>
      <c r="P73" s="5"/>
      <c r="Q73" s="5"/>
      <c r="AF73" s="5"/>
      <c r="AG73" s="5"/>
    </row>
    <row r="74" spans="2:33" x14ac:dyDescent="0.25">
      <c r="B74" s="5"/>
      <c r="C74" s="5"/>
      <c r="D74" s="5"/>
      <c r="E74" s="5"/>
      <c r="H74" s="5"/>
      <c r="I74" s="5"/>
      <c r="J74" s="5"/>
      <c r="K74" s="5"/>
      <c r="N74" s="5"/>
      <c r="O74" s="5"/>
      <c r="P74" s="5"/>
      <c r="Q74" s="5"/>
      <c r="AF74" s="5"/>
      <c r="AG74" s="5"/>
    </row>
    <row r="75" spans="2:33" x14ac:dyDescent="0.25">
      <c r="B75" s="5"/>
      <c r="C75" s="5"/>
      <c r="D75" s="5"/>
      <c r="E75" s="5"/>
      <c r="H75" s="5"/>
      <c r="I75" s="5"/>
      <c r="J75" s="5"/>
      <c r="K75" s="5"/>
      <c r="N75" s="5"/>
      <c r="O75" s="5"/>
      <c r="P75" s="5"/>
      <c r="Q75" s="5"/>
      <c r="AF75" s="5"/>
      <c r="AG75" s="5"/>
    </row>
    <row r="76" spans="2:33" x14ac:dyDescent="0.25">
      <c r="B76" s="5"/>
      <c r="C76" s="5"/>
      <c r="D76" s="5"/>
      <c r="E76" s="5"/>
      <c r="H76" s="5"/>
      <c r="I76" s="5"/>
      <c r="J76" s="5"/>
      <c r="K76" s="5"/>
      <c r="N76" s="5"/>
      <c r="O76" s="5"/>
      <c r="P76" s="5"/>
      <c r="Q76" s="5"/>
      <c r="AF76" s="5"/>
      <c r="AG76" s="5"/>
    </row>
    <row r="77" spans="2:33" x14ac:dyDescent="0.25">
      <c r="B77" s="5"/>
      <c r="C77" s="5"/>
      <c r="D77" s="5"/>
      <c r="E77" s="5"/>
      <c r="H77" s="5"/>
      <c r="I77" s="5"/>
      <c r="J77" s="5"/>
      <c r="K77" s="5"/>
      <c r="N77" s="5"/>
      <c r="O77" s="5"/>
      <c r="P77" s="5"/>
      <c r="Q77" s="5"/>
      <c r="AF77" s="5"/>
      <c r="AG77" s="5"/>
    </row>
  </sheetData>
  <autoFilter ref="A3:AI40" xr:uid="{544F84CF-2667-4442-99A2-C51ED34E4AF3}">
    <sortState ref="A4:AI39">
      <sortCondition ref="A4:A39"/>
    </sortState>
  </autoFilter>
  <sortState ref="AL2:AP38">
    <sortCondition ref="AM2:AM38"/>
    <sortCondition ref="AN2:AN38"/>
  </sortState>
  <mergeCells count="8">
    <mergeCell ref="B1:AI1"/>
    <mergeCell ref="A1:A2"/>
    <mergeCell ref="B2:G2"/>
    <mergeCell ref="N2:S2"/>
    <mergeCell ref="AF2:AI2"/>
    <mergeCell ref="H2:M2"/>
    <mergeCell ref="T2:Y2"/>
    <mergeCell ref="Z2:AE2"/>
  </mergeCells>
  <conditionalFormatting sqref="A3:G3 N3:AG3">
    <cfRule type="containsText" dxfId="30" priority="27" operator="containsText" text="Felnőtt">
      <formula>NOT(ISERROR(SEARCH("Felnőtt",A3)))</formula>
    </cfRule>
    <cfRule type="containsText" dxfId="29" priority="28" operator="containsText" text="PÁROS">
      <formula>NOT(ISERROR(SEARCH("PÁROS",A3)))</formula>
    </cfRule>
    <cfRule type="containsText" dxfId="28" priority="29" operator="containsText" text="Gyermek">
      <formula>NOT(ISERROR(SEARCH("Gyermek",A3)))</formula>
    </cfRule>
    <cfRule type="containsText" dxfId="27" priority="30" operator="containsText" text="Versenyző">
      <formula>NOT(ISERROR(SEARCH("Versenyző",A3)))</formula>
    </cfRule>
  </conditionalFormatting>
  <conditionalFormatting sqref="A1 A3">
    <cfRule type="duplicateValues" dxfId="26" priority="25"/>
  </conditionalFormatting>
  <conditionalFormatting sqref="A3">
    <cfRule type="duplicateValues" dxfId="25" priority="32"/>
  </conditionalFormatting>
  <conditionalFormatting sqref="A3:G3 N3:AG3">
    <cfRule type="containsText" dxfId="24" priority="26" operator="containsText" text="nem vett részt">
      <formula>NOT(ISERROR(SEARCH("nem vett részt",A3)))</formula>
    </cfRule>
  </conditionalFormatting>
  <conditionalFormatting sqref="AH3">
    <cfRule type="colorScale" priority="31">
      <colorScale>
        <cfvo type="min"/>
        <cfvo type="max"/>
        <color rgb="FFFCFCFF"/>
        <color rgb="FFF8696B"/>
      </colorScale>
    </cfRule>
  </conditionalFormatting>
  <conditionalFormatting sqref="H3 L3">
    <cfRule type="containsText" dxfId="23" priority="17" operator="containsText" text="Felnőtt">
      <formula>NOT(ISERROR(SEARCH("Felnőtt",H3)))</formula>
    </cfRule>
    <cfRule type="containsText" dxfId="22" priority="18" operator="containsText" text="PÁROS">
      <formula>NOT(ISERROR(SEARCH("PÁROS",H3)))</formula>
    </cfRule>
    <cfRule type="containsText" dxfId="21" priority="19" operator="containsText" text="Gyermek">
      <formula>NOT(ISERROR(SEARCH("Gyermek",H3)))</formula>
    </cfRule>
    <cfRule type="containsText" dxfId="20" priority="20" operator="containsText" text="Versenyző">
      <formula>NOT(ISERROR(SEARCH("Versenyző",H3)))</formula>
    </cfRule>
  </conditionalFormatting>
  <conditionalFormatting sqref="H3 L3">
    <cfRule type="containsText" dxfId="19" priority="16" operator="containsText" text="nem vett részt">
      <formula>NOT(ISERROR(SEARCH("nem vett részt",H3)))</formula>
    </cfRule>
  </conditionalFormatting>
  <conditionalFormatting sqref="I3:J3">
    <cfRule type="containsText" dxfId="18" priority="12" operator="containsText" text="Felnőtt">
      <formula>NOT(ISERROR(SEARCH("Felnőtt",I3)))</formula>
    </cfRule>
    <cfRule type="containsText" dxfId="17" priority="13" operator="containsText" text="PÁROS">
      <formula>NOT(ISERROR(SEARCH("PÁROS",I3)))</formula>
    </cfRule>
    <cfRule type="containsText" dxfId="16" priority="14" operator="containsText" text="Gyermek">
      <formula>NOT(ISERROR(SEARCH("Gyermek",I3)))</formula>
    </cfRule>
    <cfRule type="containsText" dxfId="15" priority="15" operator="containsText" text="Versenyző">
      <formula>NOT(ISERROR(SEARCH("Versenyző",I3)))</formula>
    </cfRule>
  </conditionalFormatting>
  <conditionalFormatting sqref="I3:J3">
    <cfRule type="containsText" dxfId="14" priority="11" operator="containsText" text="nem vett részt">
      <formula>NOT(ISERROR(SEARCH("nem vett részt",I3)))</formula>
    </cfRule>
  </conditionalFormatting>
  <conditionalFormatting sqref="K3">
    <cfRule type="containsText" dxfId="13" priority="7" operator="containsText" text="Felnőtt">
      <formula>NOT(ISERROR(SEARCH("Felnőtt",K3)))</formula>
    </cfRule>
    <cfRule type="containsText" dxfId="12" priority="8" operator="containsText" text="PÁROS">
      <formula>NOT(ISERROR(SEARCH("PÁROS",K3)))</formula>
    </cfRule>
    <cfRule type="containsText" dxfId="11" priority="9" operator="containsText" text="Gyermek">
      <formula>NOT(ISERROR(SEARCH("Gyermek",K3)))</formula>
    </cfRule>
    <cfRule type="containsText" dxfId="10" priority="10" operator="containsText" text="Versenyző">
      <formula>NOT(ISERROR(SEARCH("Versenyző",K3)))</formula>
    </cfRule>
  </conditionalFormatting>
  <conditionalFormatting sqref="K3">
    <cfRule type="containsText" dxfId="9" priority="6" operator="containsText" text="nem vett részt">
      <formula>NOT(ISERROR(SEARCH("nem vett részt",K3)))</formula>
    </cfRule>
  </conditionalFormatting>
  <conditionalFormatting sqref="M3">
    <cfRule type="containsText" dxfId="8" priority="2" operator="containsText" text="Felnőtt">
      <formula>NOT(ISERROR(SEARCH("Felnőtt",M3)))</formula>
    </cfRule>
    <cfRule type="containsText" dxfId="7" priority="3" operator="containsText" text="PÁROS">
      <formula>NOT(ISERROR(SEARCH("PÁROS",M3)))</formula>
    </cfRule>
    <cfRule type="containsText" dxfId="6" priority="4" operator="containsText" text="Gyermek">
      <formula>NOT(ISERROR(SEARCH("Gyermek",M3)))</formula>
    </cfRule>
    <cfRule type="containsText" dxfId="5" priority="5" operator="containsText" text="Versenyző">
      <formula>NOT(ISERROR(SEARCH("Versenyző",M3)))</formula>
    </cfRule>
  </conditionalFormatting>
  <conditionalFormatting sqref="M3">
    <cfRule type="containsText" dxfId="4" priority="1" operator="containsText" text="nem vett részt">
      <formula>NOT(ISERROR(SEARCH("nem vett részt",M3)))</formula>
    </cfRule>
  </conditionalFormatting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F03CF-B3A0-4A2F-978E-EA78F6E970E0}">
  <dimension ref="A1:H19"/>
  <sheetViews>
    <sheetView workbookViewId="0">
      <selection activeCell="G7" sqref="G7"/>
    </sheetView>
  </sheetViews>
  <sheetFormatPr defaultRowHeight="15" x14ac:dyDescent="0.25"/>
  <cols>
    <col min="1" max="1" width="23.140625" bestFit="1" customWidth="1"/>
    <col min="2" max="2" width="5.140625" bestFit="1" customWidth="1"/>
    <col min="4" max="4" width="6" bestFit="1" customWidth="1"/>
    <col min="5" max="5" width="10" bestFit="1" customWidth="1"/>
    <col min="7" max="7" width="21.5703125" bestFit="1" customWidth="1"/>
    <col min="9" max="9" width="12.42578125" bestFit="1" customWidth="1"/>
    <col min="10" max="10" width="24.42578125" bestFit="1" customWidth="1"/>
  </cols>
  <sheetData>
    <row r="1" spans="1:8" x14ac:dyDescent="0.25">
      <c r="A1" t="s">
        <v>9</v>
      </c>
      <c r="B1" t="s">
        <v>32</v>
      </c>
      <c r="C1" t="s">
        <v>10</v>
      </c>
      <c r="D1" t="s">
        <v>34</v>
      </c>
      <c r="E1" t="s">
        <v>13</v>
      </c>
      <c r="F1" t="s">
        <v>11</v>
      </c>
      <c r="G1" t="s">
        <v>119</v>
      </c>
      <c r="H1" t="s">
        <v>74</v>
      </c>
    </row>
    <row r="2" spans="1:8" x14ac:dyDescent="0.25">
      <c r="C2" s="2"/>
    </row>
    <row r="3" spans="1:8" x14ac:dyDescent="0.25">
      <c r="C3" s="2"/>
    </row>
    <row r="4" spans="1:8" x14ac:dyDescent="0.25">
      <c r="C4" s="2"/>
    </row>
    <row r="5" spans="1:8" x14ac:dyDescent="0.25">
      <c r="C5" s="2"/>
    </row>
    <row r="6" spans="1:8" x14ac:dyDescent="0.25">
      <c r="C6" s="2"/>
    </row>
    <row r="7" spans="1:8" x14ac:dyDescent="0.25">
      <c r="C7" s="2"/>
    </row>
    <row r="8" spans="1:8" x14ac:dyDescent="0.25">
      <c r="C8" s="2"/>
    </row>
    <row r="9" spans="1:8" x14ac:dyDescent="0.25">
      <c r="C9" s="2"/>
    </row>
    <row r="10" spans="1:8" x14ac:dyDescent="0.25">
      <c r="C10" s="2"/>
    </row>
    <row r="11" spans="1:8" x14ac:dyDescent="0.25">
      <c r="C11" s="2"/>
    </row>
    <row r="12" spans="1:8" x14ac:dyDescent="0.25">
      <c r="C12" s="2"/>
    </row>
    <row r="13" spans="1:8" x14ac:dyDescent="0.25">
      <c r="C13" s="2"/>
    </row>
    <row r="14" spans="1:8" x14ac:dyDescent="0.25">
      <c r="C14" s="2"/>
    </row>
    <row r="15" spans="1:8" x14ac:dyDescent="0.25">
      <c r="C15" s="2"/>
    </row>
    <row r="16" spans="1:8" x14ac:dyDescent="0.25">
      <c r="C16" s="2"/>
    </row>
    <row r="17" spans="3:3" x14ac:dyDescent="0.25">
      <c r="C17" s="2"/>
    </row>
    <row r="18" spans="3:3" x14ac:dyDescent="0.25">
      <c r="C18" s="2"/>
    </row>
    <row r="19" spans="3:3" x14ac:dyDescent="0.25">
      <c r="C1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68604-E682-41F7-8176-D64A345FD743}">
  <dimension ref="A1:N46"/>
  <sheetViews>
    <sheetView tabSelected="1" workbookViewId="0">
      <pane ySplit="1" topLeftCell="A2" activePane="bottomLeft" state="frozen"/>
      <selection pane="bottomLeft" activeCell="N7" sqref="N7"/>
    </sheetView>
  </sheetViews>
  <sheetFormatPr defaultRowHeight="15" x14ac:dyDescent="0.25"/>
  <cols>
    <col min="1" max="1" width="16.7109375" bestFit="1" customWidth="1"/>
    <col min="2" max="6" width="13.85546875" bestFit="1" customWidth="1"/>
    <col min="7" max="7" width="9" bestFit="1" customWidth="1"/>
    <col min="8" max="8" width="16.7109375" bestFit="1" customWidth="1"/>
    <col min="14" max="14" width="21.140625" customWidth="1"/>
  </cols>
  <sheetData>
    <row r="1" spans="1:14" x14ac:dyDescent="0.25">
      <c r="A1" s="7" t="s">
        <v>9</v>
      </c>
      <c r="B1" s="7" t="s">
        <v>143</v>
      </c>
      <c r="C1" s="7" t="s">
        <v>144</v>
      </c>
      <c r="D1" s="7" t="s">
        <v>145</v>
      </c>
      <c r="E1" s="7" t="s">
        <v>146</v>
      </c>
      <c r="F1" s="7" t="s">
        <v>147</v>
      </c>
      <c r="G1" s="7" t="s">
        <v>142</v>
      </c>
      <c r="H1" t="s">
        <v>9</v>
      </c>
      <c r="I1" s="39" t="s">
        <v>158</v>
      </c>
      <c r="J1" s="39" t="s">
        <v>159</v>
      </c>
      <c r="K1" s="39" t="s">
        <v>160</v>
      </c>
      <c r="L1" s="38" t="s">
        <v>149</v>
      </c>
      <c r="M1" t="s">
        <v>150</v>
      </c>
      <c r="N1" t="s">
        <v>135</v>
      </c>
    </row>
    <row r="2" spans="1:14" x14ac:dyDescent="0.25">
      <c r="A2" t="s">
        <v>27</v>
      </c>
      <c r="B2" s="34">
        <f>IF(COUNT(VLOOKUP(A2,'Összesített eredmények'!A:AJ,2,0))=0,"-",VLOOKUP(A2,'Összesített eredmények'!A:AJ,2,0))</f>
        <v>4.05</v>
      </c>
      <c r="C2" s="34" t="str">
        <f>IF(COUNT(VLOOKUP(A2,'Összesített eredmények'!A:AK,8,0))=0,"-",VLOOKUP(A2,'Összesített eredmények'!A:AK,8,0))</f>
        <v>-</v>
      </c>
      <c r="D2" s="34">
        <f>IF(COUNT(VLOOKUP(A2,'Összesített eredmények'!A:AL,14,0))=0,"-",VLOOKUP(A2,'Összesített eredmények'!A:AL,14,0))</f>
        <v>0</v>
      </c>
      <c r="E2" s="34" t="str">
        <f>IF(COUNT(VLOOKUP(A2,'Összesített eredmények'!A:AM,20,0))=0,"-",VLOOKUP(A2,'Összesített eredmények'!A:AM,20,0))</f>
        <v>-</v>
      </c>
      <c r="F2" s="34" t="str">
        <f>IF(COUNT(VLOOKUP(A2,'Összesített eredmények'!A:AN,26,0))=0,"-",VLOOKUP(A2,'Összesített eredmények'!A:AN,26,0))</f>
        <v>-</v>
      </c>
      <c r="G2">
        <f>SUM(I2:K2)</f>
        <v>4.05</v>
      </c>
      <c r="H2" t="s">
        <v>27</v>
      </c>
      <c r="I2" s="39">
        <f>IFERROR(LARGE(B2:F2,1),"-")</f>
        <v>4.05</v>
      </c>
      <c r="J2" s="39">
        <f>IFERROR(LARGE(B2:F2,2),"-")</f>
        <v>0</v>
      </c>
      <c r="K2" s="39" t="str">
        <f>IFERROR(LARGE(B2:F2,3),"-")</f>
        <v>-</v>
      </c>
      <c r="L2" s="38">
        <v>1</v>
      </c>
      <c r="M2" s="2">
        <f>LARGE(G:G,L2)</f>
        <v>206.5</v>
      </c>
      <c r="N2" t="str">
        <f>VLOOKUP(M2,G:H,2,0)</f>
        <v>Nagy Balázs</v>
      </c>
    </row>
    <row r="3" spans="1:14" x14ac:dyDescent="0.25">
      <c r="A3" t="s">
        <v>82</v>
      </c>
      <c r="B3" s="34" t="str">
        <f>IF(COUNT(VLOOKUP(A3,'Összesített eredmények'!A:AJ,2,0))=0,"-",VLOOKUP(A3,'Összesített eredmények'!A:AJ,2,0))</f>
        <v>-</v>
      </c>
      <c r="C3" s="34">
        <f>IF(COUNT(VLOOKUP(A3,'Összesített eredmények'!A:AK,8,0))=0,"-",VLOOKUP(A3,'Összesített eredmények'!A:AK,8,0))</f>
        <v>19.799999999999997</v>
      </c>
      <c r="D3" s="34">
        <f>IF(COUNT(VLOOKUP(A3,'Összesített eredmények'!A:AL,14,0))=0,"-",VLOOKUP(A3,'Összesített eredmények'!A:AL,14,0))</f>
        <v>11.77</v>
      </c>
      <c r="E3" s="34" t="str">
        <f>IF(COUNT(VLOOKUP(A3,'Összesített eredmények'!A:AM,20,0))=0,"-",VLOOKUP(A3,'Összesített eredmények'!A:AM,20,0))</f>
        <v>-</v>
      </c>
      <c r="F3" s="34" t="str">
        <f>IF(COUNT(VLOOKUP(A3,'Összesített eredmények'!A:AN,26,0))=0,"-",VLOOKUP(A3,'Összesített eredmények'!A:AN,26,0))</f>
        <v>-</v>
      </c>
      <c r="G3">
        <f t="shared" ref="G3:G46" si="0">SUM(I3:K3)</f>
        <v>31.569999999999997</v>
      </c>
      <c r="H3" t="s">
        <v>82</v>
      </c>
      <c r="I3" s="39">
        <f t="shared" ref="I3:I46" si="1">IFERROR(LARGE(B3:F3,1),"-")</f>
        <v>19.799999999999997</v>
      </c>
      <c r="J3" s="39">
        <f t="shared" ref="J3:J46" si="2">IFERROR(LARGE(B3:F3,2),"-")</f>
        <v>11.77</v>
      </c>
      <c r="K3" s="39" t="str">
        <f t="shared" ref="K3:K46" si="3">IFERROR(LARGE(B3:F3,3),"-")</f>
        <v>-</v>
      </c>
      <c r="L3" s="38">
        <v>2</v>
      </c>
      <c r="M3" s="2">
        <f>LARGE(G:G,L3)</f>
        <v>182.98000000000002</v>
      </c>
      <c r="N3" t="str">
        <f t="shared" ref="N3:N11" si="4">VLOOKUP(M3,G:H,2,0)</f>
        <v>Malecz Ferenc</v>
      </c>
    </row>
    <row r="4" spans="1:14" x14ac:dyDescent="0.25">
      <c r="A4" t="s">
        <v>26</v>
      </c>
      <c r="B4" s="34">
        <f>IF(COUNT(VLOOKUP(A4,'Összesített eredmények'!A:AJ,2,0))=0,"-",VLOOKUP(A4,'Összesített eredmények'!A:AJ,2,0))</f>
        <v>15.55</v>
      </c>
      <c r="C4" s="34">
        <f>IF(COUNT(VLOOKUP(A4,'Összesített eredmények'!A:AK,8,0))=0,"-",VLOOKUP(A4,'Összesített eredmények'!A:AK,8,0))</f>
        <v>55.420000000000009</v>
      </c>
      <c r="D4" s="34">
        <f>IF(COUNT(VLOOKUP(A4,'Összesített eredmények'!A:AL,14,0))=0,"-",VLOOKUP(A4,'Összesített eredmények'!A:AL,14,0))</f>
        <v>12.19</v>
      </c>
      <c r="E4" s="34" t="str">
        <f>IF(COUNT(VLOOKUP(A4,'Összesített eredmények'!A:AM,20,0))=0,"-",VLOOKUP(A4,'Összesített eredmények'!A:AM,20,0))</f>
        <v>-</v>
      </c>
      <c r="F4" s="34" t="str">
        <f>IF(COUNT(VLOOKUP(A4,'Összesített eredmények'!A:AN,26,0))=0,"-",VLOOKUP(A4,'Összesített eredmények'!A:AN,26,0))</f>
        <v>-</v>
      </c>
      <c r="G4">
        <f t="shared" si="0"/>
        <v>83.160000000000011</v>
      </c>
      <c r="H4" t="s">
        <v>26</v>
      </c>
      <c r="I4" s="39">
        <f t="shared" si="1"/>
        <v>55.420000000000009</v>
      </c>
      <c r="J4" s="39">
        <f t="shared" si="2"/>
        <v>15.55</v>
      </c>
      <c r="K4" s="39">
        <f t="shared" si="3"/>
        <v>12.19</v>
      </c>
      <c r="L4" s="38">
        <v>3</v>
      </c>
      <c r="M4" s="2">
        <f>LARGE(G:G,L4)</f>
        <v>137.4</v>
      </c>
      <c r="N4" t="str">
        <f t="shared" si="4"/>
        <v>Ballabás László</v>
      </c>
    </row>
    <row r="5" spans="1:14" x14ac:dyDescent="0.25">
      <c r="A5" t="s">
        <v>80</v>
      </c>
      <c r="B5" s="34" t="str">
        <f>IF(COUNT(VLOOKUP(A5,'Összesített eredmények'!A:AJ,2,0))=0,"-",VLOOKUP(A5,'Összesített eredmények'!A:AJ,2,0))</f>
        <v>-</v>
      </c>
      <c r="C5" s="34">
        <f>IF(COUNT(VLOOKUP(A5,'Összesített eredmények'!A:AK,8,0))=0,"-",VLOOKUP(A5,'Összesített eredmények'!A:AK,8,0))</f>
        <v>80.89</v>
      </c>
      <c r="D5" s="34" t="str">
        <f>IF(COUNT(VLOOKUP(A5,'Összesített eredmények'!A:AL,14,0))=0,"-",VLOOKUP(A5,'Összesített eredmények'!A:AL,14,0))</f>
        <v>-</v>
      </c>
      <c r="E5" s="34" t="str">
        <f>IF(COUNT(VLOOKUP(A5,'Összesített eredmények'!A:AM,20,0))=0,"-",VLOOKUP(A5,'Összesített eredmények'!A:AM,20,0))</f>
        <v>-</v>
      </c>
      <c r="F5" s="34" t="str">
        <f>IF(COUNT(VLOOKUP(A5,'Összesített eredmények'!A:AN,26,0))=0,"-",VLOOKUP(A5,'Összesített eredmények'!A:AN,26,0))</f>
        <v>-</v>
      </c>
      <c r="G5">
        <f t="shared" si="0"/>
        <v>80.89</v>
      </c>
      <c r="H5" t="s">
        <v>80</v>
      </c>
      <c r="I5" s="39">
        <f t="shared" si="1"/>
        <v>80.89</v>
      </c>
      <c r="J5" s="39" t="str">
        <f t="shared" si="2"/>
        <v>-</v>
      </c>
      <c r="K5" s="39" t="str">
        <f t="shared" si="3"/>
        <v>-</v>
      </c>
      <c r="L5" s="38">
        <v>4</v>
      </c>
      <c r="M5" s="2">
        <f>LARGE(G:G,L5)</f>
        <v>125.28999999999999</v>
      </c>
      <c r="N5" t="str">
        <f t="shared" si="4"/>
        <v>Kovács László</v>
      </c>
    </row>
    <row r="6" spans="1:14" x14ac:dyDescent="0.25">
      <c r="A6" t="s">
        <v>25</v>
      </c>
      <c r="B6" s="34">
        <f>IF(COUNT(VLOOKUP(A6,'Összesített eredmények'!A:AJ,2,0))=0,"-",VLOOKUP(A6,'Összesített eredmények'!A:AJ,2,0))</f>
        <v>41.31</v>
      </c>
      <c r="C6" s="34">
        <f>IF(COUNT(VLOOKUP(A6,'Összesített eredmények'!A:AK,8,0))=0,"-",VLOOKUP(A6,'Összesített eredmények'!A:AK,8,0))</f>
        <v>80.42</v>
      </c>
      <c r="D6" s="34">
        <f>IF(COUNT(VLOOKUP(A6,'Összesített eredmények'!A:AL,14,0))=0,"-",VLOOKUP(A6,'Összesített eredmények'!A:AL,14,0))</f>
        <v>15.67</v>
      </c>
      <c r="E6" s="34" t="str">
        <f>IF(COUNT(VLOOKUP(A6,'Összesített eredmények'!A:AM,20,0))=0,"-",VLOOKUP(A6,'Összesített eredmények'!A:AM,20,0))</f>
        <v>-</v>
      </c>
      <c r="F6" s="34" t="str">
        <f>IF(COUNT(VLOOKUP(A6,'Összesített eredmények'!A:AN,26,0))=0,"-",VLOOKUP(A6,'Összesített eredmények'!A:AN,26,0))</f>
        <v>-</v>
      </c>
      <c r="G6">
        <f t="shared" si="0"/>
        <v>137.4</v>
      </c>
      <c r="H6" t="s">
        <v>25</v>
      </c>
      <c r="I6" s="39">
        <f t="shared" si="1"/>
        <v>80.42</v>
      </c>
      <c r="J6" s="39">
        <f t="shared" si="2"/>
        <v>41.31</v>
      </c>
      <c r="K6" s="39">
        <f t="shared" si="3"/>
        <v>15.67</v>
      </c>
      <c r="L6" s="38">
        <v>5</v>
      </c>
      <c r="M6" s="2">
        <f>LARGE(G:G,L6)</f>
        <v>110.07000000000001</v>
      </c>
      <c r="N6" t="str">
        <f t="shared" si="4"/>
        <v>Nagy Ákos</v>
      </c>
    </row>
    <row r="7" spans="1:14" x14ac:dyDescent="0.25">
      <c r="A7" t="s">
        <v>79</v>
      </c>
      <c r="B7" s="34" t="str">
        <f>IF(COUNT(VLOOKUP(A7,'Összesített eredmények'!A:AJ,2,0))=0,"-",VLOOKUP(A7,'Összesített eredmények'!A:AJ,2,0))</f>
        <v>-</v>
      </c>
      <c r="C7" s="34">
        <f>IF(COUNT(VLOOKUP(A7,'Összesített eredmények'!A:AK,8,0))=0,"-",VLOOKUP(A7,'Összesített eredmények'!A:AK,8,0))</f>
        <v>40.729999999999997</v>
      </c>
      <c r="D7" s="34" t="str">
        <f>IF(COUNT(VLOOKUP(A7,'Összesített eredmények'!A:AL,14,0))=0,"-",VLOOKUP(A7,'Összesített eredmények'!A:AL,14,0))</f>
        <v>-</v>
      </c>
      <c r="E7" s="34" t="str">
        <f>IF(COUNT(VLOOKUP(A7,'Összesített eredmények'!A:AM,20,0))=0,"-",VLOOKUP(A7,'Összesített eredmények'!A:AM,20,0))</f>
        <v>-</v>
      </c>
      <c r="F7" s="34" t="str">
        <f>IF(COUNT(VLOOKUP(A7,'Összesített eredmények'!A:AN,26,0))=0,"-",VLOOKUP(A7,'Összesített eredmények'!A:AN,26,0))</f>
        <v>-</v>
      </c>
      <c r="G7">
        <f t="shared" si="0"/>
        <v>40.729999999999997</v>
      </c>
      <c r="H7" t="s">
        <v>79</v>
      </c>
      <c r="I7" s="39">
        <f t="shared" si="1"/>
        <v>40.729999999999997</v>
      </c>
      <c r="J7" s="39" t="str">
        <f t="shared" si="2"/>
        <v>-</v>
      </c>
      <c r="K7" s="39" t="str">
        <f t="shared" si="3"/>
        <v>-</v>
      </c>
      <c r="L7" s="38">
        <v>6</v>
      </c>
      <c r="M7" s="2">
        <f>LARGE(G:G,L7)</f>
        <v>109.16</v>
      </c>
      <c r="N7" t="str">
        <f t="shared" si="4"/>
        <v>Kovács Attila</v>
      </c>
    </row>
    <row r="8" spans="1:14" x14ac:dyDescent="0.25">
      <c r="A8" t="s">
        <v>101</v>
      </c>
      <c r="B8" s="34" t="str">
        <f>IF(COUNT(VLOOKUP(A8,'Összesített eredmények'!A:AJ,2,0))=0,"-",VLOOKUP(A8,'Összesített eredmények'!A:AJ,2,0))</f>
        <v>-</v>
      </c>
      <c r="C8" s="34">
        <f>IF(COUNT(VLOOKUP(A8,'Összesített eredmények'!A:AK,8,0))=0,"-",VLOOKUP(A8,'Összesített eredmények'!A:AK,8,0))</f>
        <v>71.67</v>
      </c>
      <c r="D8" s="34">
        <f>IF(COUNT(VLOOKUP(A8,'Összesített eredmények'!A:AL,14,0))=0,"-",VLOOKUP(A8,'Összesített eredmények'!A:AL,14,0))</f>
        <v>23.55</v>
      </c>
      <c r="E8" s="34" t="str">
        <f>IF(COUNT(VLOOKUP(A8,'Összesített eredmények'!A:AM,20,0))=0,"-",VLOOKUP(A8,'Összesített eredmények'!A:AM,20,0))</f>
        <v>-</v>
      </c>
      <c r="F8" s="34" t="str">
        <f>IF(COUNT(VLOOKUP(A8,'Összesített eredmények'!A:AN,26,0))=0,"-",VLOOKUP(A8,'Összesített eredmények'!A:AN,26,0))</f>
        <v>-</v>
      </c>
      <c r="G8">
        <f t="shared" si="0"/>
        <v>95.22</v>
      </c>
      <c r="H8" t="s">
        <v>101</v>
      </c>
      <c r="I8" s="39">
        <f t="shared" si="1"/>
        <v>71.67</v>
      </c>
      <c r="J8" s="39">
        <f t="shared" si="2"/>
        <v>23.55</v>
      </c>
      <c r="K8" s="39" t="str">
        <f t="shared" si="3"/>
        <v>-</v>
      </c>
      <c r="L8" s="38">
        <v>7</v>
      </c>
      <c r="M8" s="2">
        <f>LARGE(G:G,L8)</f>
        <v>102.30999999999999</v>
      </c>
      <c r="N8" t="str">
        <f t="shared" si="4"/>
        <v>Bánhegyi Gergely</v>
      </c>
    </row>
    <row r="9" spans="1:14" x14ac:dyDescent="0.25">
      <c r="A9" t="s">
        <v>153</v>
      </c>
      <c r="B9" s="34" t="str">
        <f>IF(COUNT(VLOOKUP(A9,'Összesített eredmények'!A:AJ,2,0))=0,"-",VLOOKUP(A9,'Összesített eredmények'!A:AJ,2,0))</f>
        <v>-</v>
      </c>
      <c r="C9" s="34" t="str">
        <f>IF(COUNT(VLOOKUP(A9,'Összesített eredmények'!A:AK,8,0))=0,"-",VLOOKUP(A9,'Összesített eredmények'!A:AK,8,0))</f>
        <v>-</v>
      </c>
      <c r="D9" s="34">
        <f>IF(COUNT(VLOOKUP(A9,'Összesített eredmények'!A:AL,14,0))=0,"-",VLOOKUP(A9,'Összesített eredmények'!A:AL,14,0))</f>
        <v>13.56</v>
      </c>
      <c r="E9" s="34" t="str">
        <f>IF(COUNT(VLOOKUP(A9,'Összesített eredmények'!A:AM,20,0))=0,"-",VLOOKUP(A9,'Összesített eredmények'!A:AM,20,0))</f>
        <v>-</v>
      </c>
      <c r="F9" s="34" t="str">
        <f>IF(COUNT(VLOOKUP(A9,'Összesített eredmények'!A:AN,26,0))=0,"-",VLOOKUP(A9,'Összesített eredmények'!A:AN,26,0))</f>
        <v>-</v>
      </c>
      <c r="G9">
        <f t="shared" si="0"/>
        <v>13.56</v>
      </c>
      <c r="H9" t="s">
        <v>153</v>
      </c>
      <c r="I9" s="39">
        <f t="shared" si="1"/>
        <v>13.56</v>
      </c>
      <c r="J9" s="39" t="str">
        <f t="shared" si="2"/>
        <v>-</v>
      </c>
      <c r="K9" s="39" t="str">
        <f t="shared" si="3"/>
        <v>-</v>
      </c>
      <c r="L9" s="38">
        <v>8</v>
      </c>
      <c r="M9" s="2">
        <f>LARGE(G:G,L9)</f>
        <v>100.05000000000001</v>
      </c>
      <c r="N9" t="str">
        <f t="shared" si="4"/>
        <v>Zsolnai László</v>
      </c>
    </row>
    <row r="10" spans="1:14" x14ac:dyDescent="0.25">
      <c r="A10" t="s">
        <v>99</v>
      </c>
      <c r="B10" s="34" t="str">
        <f>IF(COUNT(VLOOKUP(A10,'Összesített eredmények'!A:AJ,2,0))=0,"-",VLOOKUP(A10,'Összesített eredmények'!A:AJ,2,0))</f>
        <v>-</v>
      </c>
      <c r="C10" s="34">
        <f>IF(COUNT(VLOOKUP(A10,'Összesített eredmények'!A:AK,8,0))=0,"-",VLOOKUP(A10,'Összesített eredmények'!A:AK,8,0))</f>
        <v>86.009999999999991</v>
      </c>
      <c r="D10" s="34">
        <f>IF(COUNT(VLOOKUP(A10,'Összesített eredmények'!A:AL,14,0))=0,"-",VLOOKUP(A10,'Összesített eredmények'!A:AL,14,0))</f>
        <v>16.3</v>
      </c>
      <c r="E10" s="34" t="str">
        <f>IF(COUNT(VLOOKUP(A10,'Összesített eredmények'!A:AM,20,0))=0,"-",VLOOKUP(A10,'Összesített eredmények'!A:AM,20,0))</f>
        <v>-</v>
      </c>
      <c r="F10" s="34" t="str">
        <f>IF(COUNT(VLOOKUP(A10,'Összesített eredmények'!A:AN,26,0))=0,"-",VLOOKUP(A10,'Összesített eredmények'!A:AN,26,0))</f>
        <v>-</v>
      </c>
      <c r="G10">
        <f t="shared" si="0"/>
        <v>102.30999999999999</v>
      </c>
      <c r="H10" t="s">
        <v>99</v>
      </c>
      <c r="I10" s="39">
        <f t="shared" si="1"/>
        <v>86.009999999999991</v>
      </c>
      <c r="J10" s="39">
        <f t="shared" si="2"/>
        <v>16.3</v>
      </c>
      <c r="K10" s="39" t="str">
        <f t="shared" si="3"/>
        <v>-</v>
      </c>
      <c r="L10" s="38">
        <v>9</v>
      </c>
      <c r="M10" s="2">
        <f>LARGE(G:G,L10)</f>
        <v>95.22</v>
      </c>
      <c r="N10" t="str">
        <f t="shared" si="4"/>
        <v>Bandzi László</v>
      </c>
    </row>
    <row r="11" spans="1:14" x14ac:dyDescent="0.25">
      <c r="A11" t="s">
        <v>95</v>
      </c>
      <c r="B11" s="34">
        <f>IF(COUNT(VLOOKUP(A11,'Összesített eredmények'!A:AJ,2,0))=0,"-",VLOOKUP(A11,'Összesített eredmények'!A:AJ,2,0))</f>
        <v>21.830000000000002</v>
      </c>
      <c r="C11" s="34">
        <f>IF(COUNT(VLOOKUP(A11,'Összesített eredmények'!A:AK,8,0))=0,"-",VLOOKUP(A11,'Összesített eredmények'!A:AK,8,0))</f>
        <v>52.75</v>
      </c>
      <c r="D11" s="34" t="str">
        <f>IF(COUNT(VLOOKUP(A11,'Összesített eredmények'!A:AL,14,0))=0,"-",VLOOKUP(A11,'Összesített eredmények'!A:AL,14,0))</f>
        <v>-</v>
      </c>
      <c r="E11" s="34" t="str">
        <f>IF(COUNT(VLOOKUP(A11,'Összesített eredmények'!A:AM,20,0))=0,"-",VLOOKUP(A11,'Összesített eredmények'!A:AM,20,0))</f>
        <v>-</v>
      </c>
      <c r="F11" s="34" t="str">
        <f>IF(COUNT(VLOOKUP(A11,'Összesített eredmények'!A:AN,26,0))=0,"-",VLOOKUP(A11,'Összesített eredmények'!A:AN,26,0))</f>
        <v>-</v>
      </c>
      <c r="G11">
        <f t="shared" si="0"/>
        <v>74.58</v>
      </c>
      <c r="H11" t="s">
        <v>95</v>
      </c>
      <c r="I11" s="39">
        <f t="shared" si="1"/>
        <v>52.75</v>
      </c>
      <c r="J11" s="39">
        <f t="shared" si="2"/>
        <v>21.830000000000002</v>
      </c>
      <c r="K11" s="39" t="str">
        <f t="shared" si="3"/>
        <v>-</v>
      </c>
      <c r="L11" s="38">
        <v>10</v>
      </c>
      <c r="M11" s="2">
        <f>LARGE(G:G,L11)</f>
        <v>83.160000000000011</v>
      </c>
      <c r="N11" t="str">
        <f t="shared" si="4"/>
        <v>Bajnóczki Zoltán</v>
      </c>
    </row>
    <row r="12" spans="1:14" x14ac:dyDescent="0.25">
      <c r="A12" t="s">
        <v>24</v>
      </c>
      <c r="B12" s="34">
        <f>IF(COUNT(VLOOKUP(A12,'Összesített eredmények'!A:AJ,2,0))=0,"-",VLOOKUP(A12,'Összesített eredmények'!A:AJ,2,0))</f>
        <v>0.28000000000000003</v>
      </c>
      <c r="C12" s="34" t="str">
        <f>IF(COUNT(VLOOKUP(A12,'Összesített eredmények'!A:AK,8,0))=0,"-",VLOOKUP(A12,'Összesített eredmények'!A:AK,8,0))</f>
        <v>-</v>
      </c>
      <c r="D12" s="34" t="str">
        <f>IF(COUNT(VLOOKUP(A12,'Összesített eredmények'!A:AL,14,0))=0,"-",VLOOKUP(A12,'Összesített eredmények'!A:AL,14,0))</f>
        <v>-</v>
      </c>
      <c r="E12" s="34" t="str">
        <f>IF(COUNT(VLOOKUP(A12,'Összesített eredmények'!A:AM,20,0))=0,"-",VLOOKUP(A12,'Összesített eredmények'!A:AM,20,0))</f>
        <v>-</v>
      </c>
      <c r="F12" s="34" t="str">
        <f>IF(COUNT(VLOOKUP(A12,'Összesített eredmények'!A:AN,26,0))=0,"-",VLOOKUP(A12,'Összesített eredmények'!A:AN,26,0))</f>
        <v>-</v>
      </c>
      <c r="G12">
        <f t="shared" si="0"/>
        <v>0.28000000000000003</v>
      </c>
      <c r="H12" t="s">
        <v>24</v>
      </c>
      <c r="I12" s="39">
        <f t="shared" si="1"/>
        <v>0.28000000000000003</v>
      </c>
      <c r="J12" s="39" t="str">
        <f t="shared" si="2"/>
        <v>-</v>
      </c>
      <c r="K12" s="39" t="str">
        <f t="shared" si="3"/>
        <v>-</v>
      </c>
    </row>
    <row r="13" spans="1:14" x14ac:dyDescent="0.25">
      <c r="A13" t="s">
        <v>77</v>
      </c>
      <c r="B13" s="34" t="str">
        <f>IF(COUNT(VLOOKUP(A13,'Összesített eredmények'!A:AJ,2,0))=0,"-",VLOOKUP(A13,'Összesített eredmények'!A:AJ,2,0))</f>
        <v>-</v>
      </c>
      <c r="C13" s="34">
        <f>IF(COUNT(VLOOKUP(A13,'Összesített eredmények'!A:AK,8,0))=0,"-",VLOOKUP(A13,'Összesített eredmények'!A:AK,8,0))</f>
        <v>11.46</v>
      </c>
      <c r="D13" s="34" t="str">
        <f>IF(COUNT(VLOOKUP(A13,'Összesített eredmények'!A:AL,14,0))=0,"-",VLOOKUP(A13,'Összesített eredmények'!A:AL,14,0))</f>
        <v>-</v>
      </c>
      <c r="E13" s="34" t="str">
        <f>IF(COUNT(VLOOKUP(A13,'Összesített eredmények'!A:AM,20,0))=0,"-",VLOOKUP(A13,'Összesített eredmények'!A:AM,20,0))</f>
        <v>-</v>
      </c>
      <c r="F13" s="34" t="str">
        <f>IF(COUNT(VLOOKUP(A13,'Összesített eredmények'!A:AN,26,0))=0,"-",VLOOKUP(A13,'Összesített eredmények'!A:AN,26,0))</f>
        <v>-</v>
      </c>
      <c r="G13">
        <f t="shared" si="0"/>
        <v>11.46</v>
      </c>
      <c r="H13" t="s">
        <v>77</v>
      </c>
      <c r="I13" s="39">
        <f t="shared" si="1"/>
        <v>11.46</v>
      </c>
      <c r="J13" s="39" t="str">
        <f t="shared" si="2"/>
        <v>-</v>
      </c>
      <c r="K13" s="39" t="str">
        <f t="shared" si="3"/>
        <v>-</v>
      </c>
    </row>
    <row r="14" spans="1:14" x14ac:dyDescent="0.25">
      <c r="A14" t="s">
        <v>83</v>
      </c>
      <c r="B14" s="34" t="str">
        <f>IF(COUNT(VLOOKUP(A14,'Összesített eredmények'!A:AJ,2,0))=0,"-",VLOOKUP(A14,'Összesített eredmények'!A:AJ,2,0))</f>
        <v>-</v>
      </c>
      <c r="C14" s="34">
        <f>IF(COUNT(VLOOKUP(A14,'Összesített eredmények'!A:AK,8,0))=0,"-",VLOOKUP(A14,'Összesített eredmények'!A:AK,8,0))</f>
        <v>3.51</v>
      </c>
      <c r="D14" s="34" t="str">
        <f>IF(COUNT(VLOOKUP(A14,'Összesített eredmények'!A:AL,14,0))=0,"-",VLOOKUP(A14,'Összesített eredmények'!A:AL,14,0))</f>
        <v>-</v>
      </c>
      <c r="E14" s="34" t="str">
        <f>IF(COUNT(VLOOKUP(A14,'Összesített eredmények'!A:AM,20,0))=0,"-",VLOOKUP(A14,'Összesített eredmények'!A:AM,20,0))</f>
        <v>-</v>
      </c>
      <c r="F14" s="34" t="str">
        <f>IF(COUNT(VLOOKUP(A14,'Összesített eredmények'!A:AN,26,0))=0,"-",VLOOKUP(A14,'Összesített eredmények'!A:AN,26,0))</f>
        <v>-</v>
      </c>
      <c r="G14">
        <f t="shared" si="0"/>
        <v>3.51</v>
      </c>
      <c r="H14" t="s">
        <v>83</v>
      </c>
      <c r="I14" s="39">
        <f t="shared" si="1"/>
        <v>3.51</v>
      </c>
      <c r="J14" s="39" t="str">
        <f t="shared" si="2"/>
        <v>-</v>
      </c>
      <c r="K14" s="39" t="str">
        <f t="shared" si="3"/>
        <v>-</v>
      </c>
    </row>
    <row r="15" spans="1:14" x14ac:dyDescent="0.25">
      <c r="A15" t="s">
        <v>96</v>
      </c>
      <c r="B15" s="34" t="str">
        <f>IF(COUNT(VLOOKUP(A15,'Összesített eredmények'!A:AJ,2,0))=0,"-",VLOOKUP(A15,'Összesített eredmények'!A:AJ,2,0))</f>
        <v>-</v>
      </c>
      <c r="C15" s="34">
        <f>IF(COUNT(VLOOKUP(A15,'Összesített eredmények'!A:AK,8,0))=0,"-",VLOOKUP(A15,'Összesített eredmények'!A:AK,8,0))</f>
        <v>35.64</v>
      </c>
      <c r="D15" s="34" t="str">
        <f>IF(COUNT(VLOOKUP(A15,'Összesített eredmények'!A:AL,14,0))=0,"-",VLOOKUP(A15,'Összesített eredmények'!A:AL,14,0))</f>
        <v>-</v>
      </c>
      <c r="E15" s="34" t="str">
        <f>IF(COUNT(VLOOKUP(A15,'Összesített eredmények'!A:AM,20,0))=0,"-",VLOOKUP(A15,'Összesített eredmények'!A:AM,20,0))</f>
        <v>-</v>
      </c>
      <c r="F15" s="34" t="str">
        <f>IF(COUNT(VLOOKUP(A15,'Összesített eredmények'!A:AN,26,0))=0,"-",VLOOKUP(A15,'Összesített eredmények'!A:AN,26,0))</f>
        <v>-</v>
      </c>
      <c r="G15">
        <f t="shared" si="0"/>
        <v>35.64</v>
      </c>
      <c r="H15" t="s">
        <v>96</v>
      </c>
      <c r="I15" s="39">
        <f t="shared" si="1"/>
        <v>35.64</v>
      </c>
      <c r="J15" s="39" t="str">
        <f t="shared" si="2"/>
        <v>-</v>
      </c>
      <c r="K15" s="39" t="str">
        <f t="shared" si="3"/>
        <v>-</v>
      </c>
    </row>
    <row r="16" spans="1:14" x14ac:dyDescent="0.25">
      <c r="A16" t="s">
        <v>105</v>
      </c>
      <c r="B16" s="34" t="str">
        <f>IF(COUNT(VLOOKUP(A16,'Összesített eredmények'!A:AJ,2,0))=0,"-",VLOOKUP(A16,'Összesített eredmények'!A:AJ,2,0))</f>
        <v>-</v>
      </c>
      <c r="C16" s="34">
        <f>IF(COUNT(VLOOKUP(A16,'Összesített eredmények'!A:AK,8,0))=0,"-",VLOOKUP(A16,'Összesített eredmények'!A:AK,8,0))</f>
        <v>2.4300000000000002</v>
      </c>
      <c r="D16" s="34" t="str">
        <f>IF(COUNT(VLOOKUP(A16,'Összesített eredmények'!A:AL,14,0))=0,"-",VLOOKUP(A16,'Összesített eredmények'!A:AL,14,0))</f>
        <v>-</v>
      </c>
      <c r="E16" s="34" t="str">
        <f>IF(COUNT(VLOOKUP(A16,'Összesített eredmények'!A:AM,20,0))=0,"-",VLOOKUP(A16,'Összesített eredmények'!A:AM,20,0))</f>
        <v>-</v>
      </c>
      <c r="F16" s="34" t="str">
        <f>IF(COUNT(VLOOKUP(A16,'Összesített eredmények'!A:AN,26,0))=0,"-",VLOOKUP(A16,'Összesített eredmények'!A:AN,26,0))</f>
        <v>-</v>
      </c>
      <c r="G16">
        <f t="shared" si="0"/>
        <v>2.4300000000000002</v>
      </c>
      <c r="H16" t="s">
        <v>105</v>
      </c>
      <c r="I16" s="39">
        <f t="shared" si="1"/>
        <v>2.4300000000000002</v>
      </c>
      <c r="J16" s="39" t="str">
        <f t="shared" si="2"/>
        <v>-</v>
      </c>
      <c r="K16" s="39" t="str">
        <f t="shared" si="3"/>
        <v>-</v>
      </c>
    </row>
    <row r="17" spans="1:11" x14ac:dyDescent="0.25">
      <c r="A17" t="s">
        <v>104</v>
      </c>
      <c r="B17" s="34" t="str">
        <f>IF(COUNT(VLOOKUP(A17,'Összesített eredmények'!A:AJ,2,0))=0,"-",VLOOKUP(A17,'Összesített eredmények'!A:AJ,2,0))</f>
        <v>-</v>
      </c>
      <c r="C17" s="34">
        <f>IF(COUNT(VLOOKUP(A17,'Összesített eredmények'!A:AK,8,0))=0,"-",VLOOKUP(A17,'Összesített eredmények'!A:AK,8,0))</f>
        <v>2</v>
      </c>
      <c r="D17" s="34" t="str">
        <f>IF(COUNT(VLOOKUP(A17,'Összesített eredmények'!A:AL,14,0))=0,"-",VLOOKUP(A17,'Összesített eredmények'!A:AL,14,0))</f>
        <v>-</v>
      </c>
      <c r="E17" s="34" t="str">
        <f>IF(COUNT(VLOOKUP(A17,'Összesített eredmények'!A:AM,20,0))=0,"-",VLOOKUP(A17,'Összesített eredmények'!A:AM,20,0))</f>
        <v>-</v>
      </c>
      <c r="F17" s="34" t="str">
        <f>IF(COUNT(VLOOKUP(A17,'Összesített eredmények'!A:AN,26,0))=0,"-",VLOOKUP(A17,'Összesített eredmények'!A:AN,26,0))</f>
        <v>-</v>
      </c>
      <c r="G17">
        <f t="shared" si="0"/>
        <v>2</v>
      </c>
      <c r="H17" t="s">
        <v>104</v>
      </c>
      <c r="I17" s="39">
        <f t="shared" si="1"/>
        <v>2</v>
      </c>
      <c r="J17" s="39" t="str">
        <f t="shared" si="2"/>
        <v>-</v>
      </c>
      <c r="K17" s="39" t="str">
        <f t="shared" si="3"/>
        <v>-</v>
      </c>
    </row>
    <row r="18" spans="1:11" x14ac:dyDescent="0.25">
      <c r="A18" t="s">
        <v>16</v>
      </c>
      <c r="B18" s="34">
        <f>IF(COUNT(VLOOKUP(A18,'Összesített eredmények'!A:AJ,2,0))=0,"-",VLOOKUP(A18,'Összesített eredmények'!A:AJ,2,0))</f>
        <v>7.75</v>
      </c>
      <c r="C18" s="34" t="str">
        <f>IF(COUNT(VLOOKUP(A18,'Összesített eredmények'!A:AK,8,0))=0,"-",VLOOKUP(A18,'Összesített eredmények'!A:AK,8,0))</f>
        <v>-</v>
      </c>
      <c r="D18" s="34">
        <f>IF(COUNT(VLOOKUP(A18,'Összesített eredmények'!A:AL,14,0))=0,"-",VLOOKUP(A18,'Összesített eredmények'!A:AL,14,0))</f>
        <v>6.37</v>
      </c>
      <c r="E18" s="34" t="str">
        <f>IF(COUNT(VLOOKUP(A18,'Összesített eredmények'!A:AM,20,0))=0,"-",VLOOKUP(A18,'Összesített eredmények'!A:AM,20,0))</f>
        <v>-</v>
      </c>
      <c r="F18" s="34" t="str">
        <f>IF(COUNT(VLOOKUP(A18,'Összesített eredmények'!A:AN,26,0))=0,"-",VLOOKUP(A18,'Összesített eredmények'!A:AN,26,0))</f>
        <v>-</v>
      </c>
      <c r="G18">
        <f t="shared" si="0"/>
        <v>14.120000000000001</v>
      </c>
      <c r="H18" t="s">
        <v>16</v>
      </c>
      <c r="I18" s="39">
        <f t="shared" si="1"/>
        <v>7.75</v>
      </c>
      <c r="J18" s="39">
        <f t="shared" si="2"/>
        <v>6.37</v>
      </c>
      <c r="K18" s="39" t="str">
        <f t="shared" si="3"/>
        <v>-</v>
      </c>
    </row>
    <row r="19" spans="1:11" x14ac:dyDescent="0.25">
      <c r="A19" t="s">
        <v>154</v>
      </c>
      <c r="B19" s="34" t="str">
        <f>IF(COUNT(VLOOKUP(A19,'Összesített eredmények'!A:AJ,2,0))=0,"-",VLOOKUP(A19,'Összesített eredmények'!A:AJ,2,0))</f>
        <v>-</v>
      </c>
      <c r="C19" s="34" t="str">
        <f>IF(COUNT(VLOOKUP(A19,'Összesített eredmények'!A:AK,8,0))=0,"-",VLOOKUP(A19,'Összesített eredmények'!A:AK,8,0))</f>
        <v>-</v>
      </c>
      <c r="D19" s="34">
        <f>IF(COUNT(VLOOKUP(A19,'Összesített eredmények'!A:AL,14,0))=0,"-",VLOOKUP(A19,'Összesített eredmények'!A:AL,14,0))</f>
        <v>0</v>
      </c>
      <c r="E19" s="34" t="str">
        <f>IF(COUNT(VLOOKUP(A19,'Összesített eredmények'!A:AM,20,0))=0,"-",VLOOKUP(A19,'Összesített eredmények'!A:AM,20,0))</f>
        <v>-</v>
      </c>
      <c r="F19" s="34" t="str">
        <f>IF(COUNT(VLOOKUP(A19,'Összesített eredmények'!A:AN,26,0))=0,"-",VLOOKUP(A19,'Összesített eredmények'!A:AN,26,0))</f>
        <v>-</v>
      </c>
      <c r="G19">
        <f t="shared" si="0"/>
        <v>0</v>
      </c>
      <c r="H19" t="s">
        <v>154</v>
      </c>
      <c r="I19" s="39">
        <f t="shared" si="1"/>
        <v>0</v>
      </c>
      <c r="J19" s="39" t="str">
        <f t="shared" si="2"/>
        <v>-</v>
      </c>
      <c r="K19" s="39" t="str">
        <f t="shared" si="3"/>
        <v>-</v>
      </c>
    </row>
    <row r="20" spans="1:11" x14ac:dyDescent="0.25">
      <c r="A20" t="s">
        <v>17</v>
      </c>
      <c r="B20" s="34">
        <f>IF(COUNT(VLOOKUP(A20,'Összesített eredmények'!A:AJ,2,0))=0,"-",VLOOKUP(A20,'Összesített eredmények'!A:AJ,2,0))</f>
        <v>5.98</v>
      </c>
      <c r="C20" s="34" t="str">
        <f>IF(COUNT(VLOOKUP(A20,'Összesített eredmények'!A:AK,8,0))=0,"-",VLOOKUP(A20,'Összesített eredmények'!A:AK,8,0))</f>
        <v>-</v>
      </c>
      <c r="D20" s="34">
        <f>IF(COUNT(VLOOKUP(A20,'Összesített eredmények'!A:AL,14,0))=0,"-",VLOOKUP(A20,'Összesített eredmények'!A:AL,14,0))</f>
        <v>16.399999999999999</v>
      </c>
      <c r="E20" s="34" t="str">
        <f>IF(COUNT(VLOOKUP(A20,'Összesített eredmények'!A:AM,20,0))=0,"-",VLOOKUP(A20,'Összesített eredmények'!A:AM,20,0))</f>
        <v>-</v>
      </c>
      <c r="F20" s="34" t="str">
        <f>IF(COUNT(VLOOKUP(A20,'Összesített eredmények'!A:AN,26,0))=0,"-",VLOOKUP(A20,'Összesített eredmények'!A:AN,26,0))</f>
        <v>-</v>
      </c>
      <c r="G20">
        <f t="shared" si="0"/>
        <v>22.38</v>
      </c>
      <c r="H20" t="s">
        <v>17</v>
      </c>
      <c r="I20" s="39">
        <f t="shared" si="1"/>
        <v>16.399999999999999</v>
      </c>
      <c r="J20" s="39">
        <f t="shared" si="2"/>
        <v>5.98</v>
      </c>
      <c r="K20" s="39" t="str">
        <f t="shared" si="3"/>
        <v>-</v>
      </c>
    </row>
    <row r="21" spans="1:11" x14ac:dyDescent="0.25">
      <c r="A21" t="s">
        <v>23</v>
      </c>
      <c r="B21" s="34">
        <f>IF(COUNT(VLOOKUP(A21,'Összesített eredmények'!A:AJ,2,0))=0,"-",VLOOKUP(A21,'Összesített eredmények'!A:AJ,2,0))</f>
        <v>0</v>
      </c>
      <c r="C21" s="34" t="str">
        <f>IF(COUNT(VLOOKUP(A21,'Összesített eredmények'!A:AK,8,0))=0,"-",VLOOKUP(A21,'Összesített eredmények'!A:AK,8,0))</f>
        <v>-</v>
      </c>
      <c r="D21" s="34" t="str">
        <f>IF(COUNT(VLOOKUP(A21,'Összesített eredmények'!A:AL,14,0))=0,"-",VLOOKUP(A21,'Összesített eredmények'!A:AL,14,0))</f>
        <v>-</v>
      </c>
      <c r="E21" s="34" t="str">
        <f>IF(COUNT(VLOOKUP(A21,'Összesített eredmények'!A:AM,20,0))=0,"-",VLOOKUP(A21,'Összesített eredmények'!A:AM,20,0))</f>
        <v>-</v>
      </c>
      <c r="F21" s="34" t="str">
        <f>IF(COUNT(VLOOKUP(A21,'Összesített eredmények'!A:AN,26,0))=0,"-",VLOOKUP(A21,'Összesített eredmények'!A:AN,26,0))</f>
        <v>-</v>
      </c>
      <c r="G21">
        <f t="shared" si="0"/>
        <v>0</v>
      </c>
      <c r="H21" t="s">
        <v>23</v>
      </c>
      <c r="I21" s="39">
        <f t="shared" si="1"/>
        <v>0</v>
      </c>
      <c r="J21" s="39" t="str">
        <f t="shared" si="2"/>
        <v>-</v>
      </c>
      <c r="K21" s="39" t="str">
        <f t="shared" si="3"/>
        <v>-</v>
      </c>
    </row>
    <row r="22" spans="1:11" x14ac:dyDescent="0.25">
      <c r="A22" t="s">
        <v>29</v>
      </c>
      <c r="B22" s="34">
        <f>IF(COUNT(VLOOKUP(A22,'Összesített eredmények'!A:AJ,2,0))=0,"-",VLOOKUP(A22,'Összesített eredmények'!A:AJ,2,0))</f>
        <v>0</v>
      </c>
      <c r="C22" s="34" t="str">
        <f>IF(COUNT(VLOOKUP(A22,'Összesített eredmények'!A:AK,8,0))=0,"-",VLOOKUP(A22,'Összesített eredmények'!A:AK,8,0))</f>
        <v>-</v>
      </c>
      <c r="D22" s="34">
        <f>IF(COUNT(VLOOKUP(A22,'Összesített eredmények'!A:AL,14,0))=0,"-",VLOOKUP(A22,'Összesített eredmények'!A:AL,14,0))</f>
        <v>12.129999999999999</v>
      </c>
      <c r="E22" s="34" t="str">
        <f>IF(COUNT(VLOOKUP(A22,'Összesített eredmények'!A:AM,20,0))=0,"-",VLOOKUP(A22,'Összesített eredmények'!A:AM,20,0))</f>
        <v>-</v>
      </c>
      <c r="F22" s="34" t="str">
        <f>IF(COUNT(VLOOKUP(A22,'Összesített eredmények'!A:AN,26,0))=0,"-",VLOOKUP(A22,'Összesített eredmények'!A:AN,26,0))</f>
        <v>-</v>
      </c>
      <c r="G22">
        <f t="shared" si="0"/>
        <v>12.129999999999999</v>
      </c>
      <c r="H22" t="s">
        <v>29</v>
      </c>
      <c r="I22" s="39">
        <f t="shared" si="1"/>
        <v>12.129999999999999</v>
      </c>
      <c r="J22" s="39">
        <f t="shared" si="2"/>
        <v>0</v>
      </c>
      <c r="K22" s="39" t="str">
        <f t="shared" si="3"/>
        <v>-</v>
      </c>
    </row>
    <row r="23" spans="1:11" x14ac:dyDescent="0.25">
      <c r="A23" t="s">
        <v>155</v>
      </c>
      <c r="B23" s="34" t="str">
        <f>IF(COUNT(VLOOKUP(A23,'Összesített eredmények'!A:AJ,2,0))=0,"-",VLOOKUP(A23,'Összesített eredmények'!A:AJ,2,0))</f>
        <v>-</v>
      </c>
      <c r="C23" s="34" t="str">
        <f>IF(COUNT(VLOOKUP(A23,'Összesített eredmények'!A:AK,8,0))=0,"-",VLOOKUP(A23,'Összesített eredmények'!A:AK,8,0))</f>
        <v>-</v>
      </c>
      <c r="D23" s="34">
        <f>IF(COUNT(VLOOKUP(A23,'Összesített eredmények'!A:AL,14,0))=0,"-",VLOOKUP(A23,'Összesített eredmények'!A:AL,14,0))</f>
        <v>12.2</v>
      </c>
      <c r="E23" s="34" t="str">
        <f>IF(COUNT(VLOOKUP(A23,'Összesített eredmények'!A:AM,20,0))=0,"-",VLOOKUP(A23,'Összesített eredmények'!A:AM,20,0))</f>
        <v>-</v>
      </c>
      <c r="F23" s="34" t="str">
        <f>IF(COUNT(VLOOKUP(A23,'Összesített eredmények'!A:AN,26,0))=0,"-",VLOOKUP(A23,'Összesített eredmények'!A:AN,26,0))</f>
        <v>-</v>
      </c>
      <c r="G23">
        <f t="shared" si="0"/>
        <v>12.2</v>
      </c>
      <c r="H23" t="s">
        <v>155</v>
      </c>
      <c r="I23" s="39">
        <f t="shared" si="1"/>
        <v>12.2</v>
      </c>
      <c r="J23" s="39" t="str">
        <f t="shared" si="2"/>
        <v>-</v>
      </c>
      <c r="K23" s="39" t="str">
        <f t="shared" si="3"/>
        <v>-</v>
      </c>
    </row>
    <row r="24" spans="1:11" x14ac:dyDescent="0.25">
      <c r="A24" t="s">
        <v>15</v>
      </c>
      <c r="B24" s="34">
        <f>IF(COUNT(VLOOKUP(A24,'Összesített eredmények'!A:AJ,2,0))=0,"-",VLOOKUP(A24,'Összesített eredmények'!A:AJ,2,0))</f>
        <v>17.509999999999998</v>
      </c>
      <c r="C24" s="34" t="str">
        <f>IF(COUNT(VLOOKUP(A24,'Összesített eredmények'!A:AK,8,0))=0,"-",VLOOKUP(A24,'Összesített eredmények'!A:AK,8,0))</f>
        <v>-</v>
      </c>
      <c r="D24" s="34">
        <f>IF(COUNT(VLOOKUP(A24,'Összesített eredmények'!A:AL,14,0))=0,"-",VLOOKUP(A24,'Összesített eredmények'!A:AL,14,0))</f>
        <v>32.01</v>
      </c>
      <c r="E24" s="34" t="str">
        <f>IF(COUNT(VLOOKUP(A24,'Összesített eredmények'!A:AM,20,0))=0,"-",VLOOKUP(A24,'Összesített eredmények'!A:AM,20,0))</f>
        <v>-</v>
      </c>
      <c r="F24" s="34" t="str">
        <f>IF(COUNT(VLOOKUP(A24,'Összesített eredmények'!A:AN,26,0))=0,"-",VLOOKUP(A24,'Összesített eredmények'!A:AN,26,0))</f>
        <v>-</v>
      </c>
      <c r="G24">
        <f t="shared" si="0"/>
        <v>49.519999999999996</v>
      </c>
      <c r="H24" t="s">
        <v>15</v>
      </c>
      <c r="I24" s="39">
        <f t="shared" si="1"/>
        <v>32.01</v>
      </c>
      <c r="J24" s="39">
        <f t="shared" si="2"/>
        <v>17.509999999999998</v>
      </c>
      <c r="K24" s="39" t="str">
        <f t="shared" si="3"/>
        <v>-</v>
      </c>
    </row>
    <row r="25" spans="1:11" x14ac:dyDescent="0.25">
      <c r="A25" t="s">
        <v>81</v>
      </c>
      <c r="B25" s="34" t="str">
        <f>IF(COUNT(VLOOKUP(A25,'Összesített eredmények'!A:AJ,2,0))=0,"-",VLOOKUP(A25,'Összesített eredmények'!A:AJ,2,0))</f>
        <v>-</v>
      </c>
      <c r="C25" s="34">
        <f>IF(COUNT(VLOOKUP(A25,'Összesített eredmények'!A:AK,8,0))=0,"-",VLOOKUP(A25,'Összesített eredmények'!A:AK,8,0))</f>
        <v>81.58</v>
      </c>
      <c r="D25" s="34" t="str">
        <f>IF(COUNT(VLOOKUP(A25,'Összesített eredmények'!A:AL,14,0))=0,"-",VLOOKUP(A25,'Összesített eredmények'!A:AL,14,0))</f>
        <v>-</v>
      </c>
      <c r="E25" s="34" t="str">
        <f>IF(COUNT(VLOOKUP(A25,'Összesített eredmények'!A:AM,20,0))=0,"-",VLOOKUP(A25,'Összesített eredmények'!A:AM,20,0))</f>
        <v>-</v>
      </c>
      <c r="F25" s="34" t="str">
        <f>IF(COUNT(VLOOKUP(A25,'Összesített eredmények'!A:AN,26,0))=0,"-",VLOOKUP(A25,'Összesített eredmények'!A:AN,26,0))</f>
        <v>-</v>
      </c>
      <c r="G25">
        <f t="shared" si="0"/>
        <v>81.58</v>
      </c>
      <c r="H25" t="s">
        <v>81</v>
      </c>
      <c r="I25" s="39">
        <f t="shared" si="1"/>
        <v>81.58</v>
      </c>
      <c r="J25" s="39" t="str">
        <f t="shared" si="2"/>
        <v>-</v>
      </c>
      <c r="K25" s="39" t="str">
        <f t="shared" si="3"/>
        <v>-</v>
      </c>
    </row>
    <row r="26" spans="1:11" x14ac:dyDescent="0.25">
      <c r="A26" t="s">
        <v>100</v>
      </c>
      <c r="B26" s="34" t="str">
        <f>IF(COUNT(VLOOKUP(A26,'Összesített eredmények'!A:AJ,2,0))=0,"-",VLOOKUP(A26,'Összesített eredmények'!A:AJ,2,0))</f>
        <v>-</v>
      </c>
      <c r="C26" s="34">
        <f>IF(COUNT(VLOOKUP(A26,'Összesített eredmények'!A:AK,8,0))=0,"-",VLOOKUP(A26,'Összesített eredmények'!A:AK,8,0))</f>
        <v>82.11999999999999</v>
      </c>
      <c r="D26" s="34">
        <f>IF(COUNT(VLOOKUP(A26,'Összesített eredmények'!A:AL,14,0))=0,"-",VLOOKUP(A26,'Összesített eredmények'!A:AL,14,0))</f>
        <v>27.04</v>
      </c>
      <c r="E26" s="34" t="str">
        <f>IF(COUNT(VLOOKUP(A26,'Összesített eredmények'!A:AM,20,0))=0,"-",VLOOKUP(A26,'Összesített eredmények'!A:AM,20,0))</f>
        <v>-</v>
      </c>
      <c r="F26" s="34" t="str">
        <f>IF(COUNT(VLOOKUP(A26,'Összesített eredmények'!A:AN,26,0))=0,"-",VLOOKUP(A26,'Összesített eredmények'!A:AN,26,0))</f>
        <v>-</v>
      </c>
      <c r="G26">
        <f t="shared" si="0"/>
        <v>109.16</v>
      </c>
      <c r="H26" t="s">
        <v>100</v>
      </c>
      <c r="I26" s="39">
        <f t="shared" si="1"/>
        <v>82.11999999999999</v>
      </c>
      <c r="J26" s="39">
        <f t="shared" si="2"/>
        <v>27.04</v>
      </c>
      <c r="K26" s="39" t="str">
        <f t="shared" si="3"/>
        <v>-</v>
      </c>
    </row>
    <row r="27" spans="1:11" x14ac:dyDescent="0.25">
      <c r="A27" t="s">
        <v>31</v>
      </c>
      <c r="B27" s="34">
        <f>IF(COUNT(VLOOKUP(A27,'Összesített eredmények'!A:AJ,2,0))=0,"-",VLOOKUP(A27,'Összesített eredmények'!A:AJ,2,0))</f>
        <v>0</v>
      </c>
      <c r="C27" s="34">
        <f>IF(COUNT(VLOOKUP(A27,'Összesített eredmények'!A:AK,8,0))=0,"-",VLOOKUP(A27,'Összesített eredmények'!A:AK,8,0))</f>
        <v>76.429999999999993</v>
      </c>
      <c r="D27" s="34">
        <f>IF(COUNT(VLOOKUP(A27,'Összesített eredmények'!A:AL,14,0))=0,"-",VLOOKUP(A27,'Összesített eredmények'!A:AL,14,0))</f>
        <v>48.86</v>
      </c>
      <c r="E27" s="34" t="str">
        <f>IF(COUNT(VLOOKUP(A27,'Összesített eredmények'!A:AM,20,0))=0,"-",VLOOKUP(A27,'Összesített eredmények'!A:AM,20,0))</f>
        <v>-</v>
      </c>
      <c r="F27" s="34" t="str">
        <f>IF(COUNT(VLOOKUP(A27,'Összesített eredmények'!A:AN,26,0))=0,"-",VLOOKUP(A27,'Összesített eredmények'!A:AN,26,0))</f>
        <v>-</v>
      </c>
      <c r="G27">
        <f t="shared" si="0"/>
        <v>125.28999999999999</v>
      </c>
      <c r="H27" t="s">
        <v>31</v>
      </c>
      <c r="I27" s="39">
        <f t="shared" si="1"/>
        <v>76.429999999999993</v>
      </c>
      <c r="J27" s="39">
        <f t="shared" si="2"/>
        <v>48.86</v>
      </c>
      <c r="K27" s="39">
        <f t="shared" si="3"/>
        <v>0</v>
      </c>
    </row>
    <row r="28" spans="1:11" x14ac:dyDescent="0.25">
      <c r="A28" t="s">
        <v>8</v>
      </c>
      <c r="B28" s="34">
        <f>IF(COUNT(VLOOKUP(A28,'Összesített eredmények'!A:AJ,2,0))=0,"-",VLOOKUP(A28,'Összesített eredmények'!A:AJ,2,0))</f>
        <v>20.68</v>
      </c>
      <c r="C28" s="34" t="str">
        <f>IF(COUNT(VLOOKUP(A28,'Összesített eredmények'!A:AK,8,0))=0,"-",VLOOKUP(A28,'Összesített eredmények'!A:AK,8,0))</f>
        <v>-</v>
      </c>
      <c r="D28" s="34">
        <f>IF(COUNT(VLOOKUP(A28,'Összesített eredmények'!A:AL,14,0))=0,"-",VLOOKUP(A28,'Összesített eredmények'!A:AL,14,0))</f>
        <v>24.22</v>
      </c>
      <c r="E28" s="34" t="str">
        <f>IF(COUNT(VLOOKUP(A28,'Összesített eredmények'!A:AM,20,0))=0,"-",VLOOKUP(A28,'Összesített eredmények'!A:AM,20,0))</f>
        <v>-</v>
      </c>
      <c r="F28" s="34" t="str">
        <f>IF(COUNT(VLOOKUP(A28,'Összesített eredmények'!A:AN,26,0))=0,"-",VLOOKUP(A28,'Összesített eredmények'!A:AN,26,0))</f>
        <v>-</v>
      </c>
      <c r="G28">
        <f t="shared" si="0"/>
        <v>44.9</v>
      </c>
      <c r="H28" t="s">
        <v>8</v>
      </c>
      <c r="I28" s="39">
        <f t="shared" si="1"/>
        <v>24.22</v>
      </c>
      <c r="J28" s="39">
        <f t="shared" si="2"/>
        <v>20.68</v>
      </c>
      <c r="K28" s="39" t="str">
        <f t="shared" si="3"/>
        <v>-</v>
      </c>
    </row>
    <row r="29" spans="1:11" x14ac:dyDescent="0.25">
      <c r="A29" t="s">
        <v>7</v>
      </c>
      <c r="B29" s="34">
        <f>IF(COUNT(VLOOKUP(A29,'Összesített eredmények'!A:AJ,2,0))=0,"-",VLOOKUP(A29,'Összesített eredmények'!A:AJ,2,0))</f>
        <v>24.439999999999998</v>
      </c>
      <c r="C29" s="34" t="str">
        <f>IF(COUNT(VLOOKUP(A29,'Összesített eredmények'!A:AK,8,0))=0,"-",VLOOKUP(A29,'Összesített eredmények'!A:AK,8,0))</f>
        <v>-</v>
      </c>
      <c r="D29" s="34">
        <f>IF(COUNT(VLOOKUP(A29,'Összesített eredmények'!A:AL,14,0))=0,"-",VLOOKUP(A29,'Összesített eredmények'!A:AL,14,0))</f>
        <v>29.03</v>
      </c>
      <c r="E29" s="34" t="str">
        <f>IF(COUNT(VLOOKUP(A29,'Összesített eredmények'!A:AM,20,0))=0,"-",VLOOKUP(A29,'Összesített eredmények'!A:AM,20,0))</f>
        <v>-</v>
      </c>
      <c r="F29" s="34" t="str">
        <f>IF(COUNT(VLOOKUP(A29,'Összesített eredmények'!A:AN,26,0))=0,"-",VLOOKUP(A29,'Összesített eredmények'!A:AN,26,0))</f>
        <v>-</v>
      </c>
      <c r="G29">
        <f t="shared" si="0"/>
        <v>53.47</v>
      </c>
      <c r="H29" t="s">
        <v>7</v>
      </c>
      <c r="I29" s="39">
        <f t="shared" si="1"/>
        <v>29.03</v>
      </c>
      <c r="J29" s="39">
        <f t="shared" si="2"/>
        <v>24.439999999999998</v>
      </c>
      <c r="K29" s="39" t="str">
        <f t="shared" si="3"/>
        <v>-</v>
      </c>
    </row>
    <row r="30" spans="1:11" x14ac:dyDescent="0.25">
      <c r="A30" t="s">
        <v>156</v>
      </c>
      <c r="B30" s="34" t="str">
        <f>IF(COUNT(VLOOKUP(A30,'Összesített eredmények'!A:AJ,2,0))=0,"-",VLOOKUP(A30,'Összesített eredmények'!A:AJ,2,0))</f>
        <v>-</v>
      </c>
      <c r="C30" s="34" t="str">
        <f>IF(COUNT(VLOOKUP(A30,'Összesített eredmények'!A:AK,8,0))=0,"-",VLOOKUP(A30,'Összesített eredmények'!A:AK,8,0))</f>
        <v>-</v>
      </c>
      <c r="D30" s="34">
        <f>IF(COUNT(VLOOKUP(A30,'Összesített eredmények'!A:AL,14,0))=0,"-",VLOOKUP(A30,'Összesített eredmények'!A:AL,14,0))</f>
        <v>32.43</v>
      </c>
      <c r="E30" s="34" t="str">
        <f>IF(COUNT(VLOOKUP(A30,'Összesített eredmények'!A:AM,20,0))=0,"-",VLOOKUP(A30,'Összesített eredmények'!A:AM,20,0))</f>
        <v>-</v>
      </c>
      <c r="F30" s="34" t="str">
        <f>IF(COUNT(VLOOKUP(A30,'Összesített eredmények'!A:AN,26,0))=0,"-",VLOOKUP(A30,'Összesített eredmények'!A:AN,26,0))</f>
        <v>-</v>
      </c>
      <c r="G30">
        <f t="shared" si="0"/>
        <v>32.43</v>
      </c>
      <c r="H30" t="s">
        <v>156</v>
      </c>
      <c r="I30" s="39">
        <f t="shared" si="1"/>
        <v>32.43</v>
      </c>
      <c r="J30" s="39" t="str">
        <f t="shared" si="2"/>
        <v>-</v>
      </c>
      <c r="K30" s="39" t="str">
        <f t="shared" si="3"/>
        <v>-</v>
      </c>
    </row>
    <row r="31" spans="1:11" x14ac:dyDescent="0.25">
      <c r="A31" t="s">
        <v>28</v>
      </c>
      <c r="B31" s="34">
        <f>IF(COUNT(VLOOKUP(A31,'Összesített eredmények'!A:AJ,2,0))=0,"-",VLOOKUP(A31,'Összesített eredmények'!A:AJ,2,0))</f>
        <v>26.240000000000002</v>
      </c>
      <c r="C31" s="34" t="str">
        <f>IF(COUNT(VLOOKUP(A31,'Összesített eredmények'!A:AK,8,0))=0,"-",VLOOKUP(A31,'Összesített eredmények'!A:AK,8,0))</f>
        <v>-</v>
      </c>
      <c r="D31" s="34" t="str">
        <f>IF(COUNT(VLOOKUP(A31,'Összesített eredmények'!A:AL,14,0))=0,"-",VLOOKUP(A31,'Összesített eredmények'!A:AL,14,0))</f>
        <v>-</v>
      </c>
      <c r="E31" s="34" t="str">
        <f>IF(COUNT(VLOOKUP(A31,'Összesített eredmények'!A:AM,20,0))=0,"-",VLOOKUP(A31,'Összesített eredmények'!A:AM,20,0))</f>
        <v>-</v>
      </c>
      <c r="F31" s="34" t="str">
        <f>IF(COUNT(VLOOKUP(A31,'Összesített eredmények'!A:AN,26,0))=0,"-",VLOOKUP(A31,'Összesített eredmények'!A:AN,26,0))</f>
        <v>-</v>
      </c>
      <c r="G31">
        <f t="shared" si="0"/>
        <v>26.240000000000002</v>
      </c>
      <c r="H31" t="s">
        <v>28</v>
      </c>
      <c r="I31" s="39">
        <f t="shared" si="1"/>
        <v>26.240000000000002</v>
      </c>
      <c r="J31" s="39" t="str">
        <f t="shared" si="2"/>
        <v>-</v>
      </c>
      <c r="K31" s="39" t="str">
        <f t="shared" si="3"/>
        <v>-</v>
      </c>
    </row>
    <row r="32" spans="1:11" x14ac:dyDescent="0.25">
      <c r="A32" t="s">
        <v>102</v>
      </c>
      <c r="B32" s="34" t="str">
        <f>IF(COUNT(VLOOKUP(A32,'Összesített eredmények'!A:AJ,2,0))=0,"-",VLOOKUP(A32,'Összesített eredmények'!A:AJ,2,0))</f>
        <v>-</v>
      </c>
      <c r="C32" s="34">
        <f>IF(COUNT(VLOOKUP(A32,'Összesített eredmények'!A:AK,8,0))=0,"-",VLOOKUP(A32,'Összesített eredmények'!A:AK,8,0))</f>
        <v>94.18</v>
      </c>
      <c r="D32" s="34">
        <f>IF(COUNT(VLOOKUP(A32,'Összesített eredmények'!A:AL,14,0))=0,"-",VLOOKUP(A32,'Összesített eredmények'!A:AL,14,0))</f>
        <v>88.800000000000011</v>
      </c>
      <c r="E32" s="34" t="str">
        <f>IF(COUNT(VLOOKUP(A32,'Összesített eredmények'!A:AM,20,0))=0,"-",VLOOKUP(A32,'Összesített eredmények'!A:AM,20,0))</f>
        <v>-</v>
      </c>
      <c r="F32" s="34" t="str">
        <f>IF(COUNT(VLOOKUP(A32,'Összesített eredmények'!A:AN,26,0))=0,"-",VLOOKUP(A32,'Összesített eredmények'!A:AN,26,0))</f>
        <v>-</v>
      </c>
      <c r="G32">
        <f t="shared" si="0"/>
        <v>182.98000000000002</v>
      </c>
      <c r="H32" t="s">
        <v>102</v>
      </c>
      <c r="I32" s="39">
        <f t="shared" si="1"/>
        <v>94.18</v>
      </c>
      <c r="J32" s="39">
        <f t="shared" si="2"/>
        <v>88.800000000000011</v>
      </c>
      <c r="K32" s="39" t="str">
        <f t="shared" si="3"/>
        <v>-</v>
      </c>
    </row>
    <row r="33" spans="1:11" x14ac:dyDescent="0.25">
      <c r="A33" t="s">
        <v>98</v>
      </c>
      <c r="B33" s="34" t="str">
        <f>IF(COUNT(VLOOKUP(A33,'Összesített eredmények'!A:AJ,2,0))=0,"-",VLOOKUP(A33,'Összesített eredmények'!A:AJ,2,0))</f>
        <v>-</v>
      </c>
      <c r="C33" s="34">
        <f>IF(COUNT(VLOOKUP(A33,'Összesített eredmények'!A:AK,8,0))=0,"-",VLOOKUP(A33,'Összesített eredmények'!A:AK,8,0))</f>
        <v>30.04</v>
      </c>
      <c r="D33" s="34">
        <f>IF(COUNT(VLOOKUP(A33,'Összesített eredmények'!A:AL,14,0))=0,"-",VLOOKUP(A33,'Összesített eredmények'!A:AL,14,0))</f>
        <v>52.699999999999989</v>
      </c>
      <c r="E33" s="34" t="str">
        <f>IF(COUNT(VLOOKUP(A33,'Összesített eredmények'!A:AM,20,0))=0,"-",VLOOKUP(A33,'Összesített eredmények'!A:AM,20,0))</f>
        <v>-</v>
      </c>
      <c r="F33" s="34" t="str">
        <f>IF(COUNT(VLOOKUP(A33,'Összesített eredmények'!A:AN,26,0))=0,"-",VLOOKUP(A33,'Összesített eredmények'!A:AN,26,0))</f>
        <v>-</v>
      </c>
      <c r="G33">
        <f t="shared" si="0"/>
        <v>82.739999999999981</v>
      </c>
      <c r="H33" t="s">
        <v>98</v>
      </c>
      <c r="I33" s="39">
        <f t="shared" si="1"/>
        <v>52.699999999999989</v>
      </c>
      <c r="J33" s="39">
        <f t="shared" si="2"/>
        <v>30.04</v>
      </c>
      <c r="K33" s="39" t="str">
        <f t="shared" si="3"/>
        <v>-</v>
      </c>
    </row>
    <row r="34" spans="1:11" x14ac:dyDescent="0.25">
      <c r="A34" t="s">
        <v>76</v>
      </c>
      <c r="B34" s="34" t="str">
        <f>IF(COUNT(VLOOKUP(A34,'Összesített eredmények'!A:AJ,2,0))=0,"-",VLOOKUP(A34,'Összesített eredmények'!A:AJ,2,0))</f>
        <v>-</v>
      </c>
      <c r="C34" s="34">
        <f>IF(COUNT(VLOOKUP(A34,'Összesített eredmények'!A:AK,8,0))=0,"-",VLOOKUP(A34,'Összesített eredmények'!A:AK,8,0))</f>
        <v>110.07000000000001</v>
      </c>
      <c r="D34" s="34" t="str">
        <f>IF(COUNT(VLOOKUP(A34,'Összesített eredmények'!A:AL,14,0))=0,"-",VLOOKUP(A34,'Összesített eredmények'!A:AL,14,0))</f>
        <v>-</v>
      </c>
      <c r="E34" s="34" t="str">
        <f>IF(COUNT(VLOOKUP(A34,'Összesített eredmények'!A:AM,20,0))=0,"-",VLOOKUP(A34,'Összesített eredmények'!A:AM,20,0))</f>
        <v>-</v>
      </c>
      <c r="F34" s="34" t="str">
        <f>IF(COUNT(VLOOKUP(A34,'Összesített eredmények'!A:AN,26,0))=0,"-",VLOOKUP(A34,'Összesített eredmények'!A:AN,26,0))</f>
        <v>-</v>
      </c>
      <c r="G34">
        <f t="shared" si="0"/>
        <v>110.07000000000001</v>
      </c>
      <c r="H34" t="s">
        <v>76</v>
      </c>
      <c r="I34" s="39">
        <f t="shared" si="1"/>
        <v>110.07000000000001</v>
      </c>
      <c r="J34" s="39" t="str">
        <f t="shared" si="2"/>
        <v>-</v>
      </c>
      <c r="K34" s="39" t="str">
        <f t="shared" si="3"/>
        <v>-</v>
      </c>
    </row>
    <row r="35" spans="1:11" x14ac:dyDescent="0.25">
      <c r="A35" t="s">
        <v>30</v>
      </c>
      <c r="B35" s="34">
        <f>IF(COUNT(VLOOKUP(A35,'Összesített eredmények'!A:AJ,2,0))=0,"-",VLOOKUP(A35,'Összesített eredmények'!A:AJ,2,0))</f>
        <v>42.69</v>
      </c>
      <c r="C35" s="34">
        <f>IF(COUNT(VLOOKUP(A35,'Összesített eredmények'!A:AK,8,0))=0,"-",VLOOKUP(A35,'Összesített eredmények'!A:AK,8,0))</f>
        <v>128.13999999999999</v>
      </c>
      <c r="D35" s="34">
        <f>IF(COUNT(VLOOKUP(A35,'Összesített eredmények'!A:AL,14,0))=0,"-",VLOOKUP(A35,'Összesített eredmények'!A:AL,14,0))</f>
        <v>35.67</v>
      </c>
      <c r="E35" s="34" t="str">
        <f>IF(COUNT(VLOOKUP(A35,'Összesített eredmények'!A:AM,20,0))=0,"-",VLOOKUP(A35,'Összesített eredmények'!A:AM,20,0))</f>
        <v>-</v>
      </c>
      <c r="F35" s="34" t="str">
        <f>IF(COUNT(VLOOKUP(A35,'Összesített eredmények'!A:AN,26,0))=0,"-",VLOOKUP(A35,'Összesített eredmények'!A:AN,26,0))</f>
        <v>-</v>
      </c>
      <c r="G35">
        <f t="shared" si="0"/>
        <v>206.5</v>
      </c>
      <c r="H35" t="s">
        <v>30</v>
      </c>
      <c r="I35" s="39">
        <f t="shared" si="1"/>
        <v>128.13999999999999</v>
      </c>
      <c r="J35" s="39">
        <f t="shared" si="2"/>
        <v>42.69</v>
      </c>
      <c r="K35" s="39">
        <f t="shared" si="3"/>
        <v>35.67</v>
      </c>
    </row>
    <row r="36" spans="1:11" x14ac:dyDescent="0.25">
      <c r="A36" t="s">
        <v>103</v>
      </c>
      <c r="B36" s="34" t="str">
        <f>IF(COUNT(VLOOKUP(A36,'Összesített eredmények'!A:AJ,2,0))=0,"-",VLOOKUP(A36,'Összesített eredmények'!A:AJ,2,0))</f>
        <v>-</v>
      </c>
      <c r="C36" s="34">
        <f>IF(COUNT(VLOOKUP(A36,'Összesített eredmények'!A:AK,8,0))=0,"-",VLOOKUP(A36,'Összesített eredmények'!A:AK,8,0))</f>
        <v>4.3499999999999996</v>
      </c>
      <c r="D36" s="34" t="str">
        <f>IF(COUNT(VLOOKUP(A36,'Összesített eredmények'!A:AL,14,0))=0,"-",VLOOKUP(A36,'Összesített eredmények'!A:AL,14,0))</f>
        <v>-</v>
      </c>
      <c r="E36" s="34" t="str">
        <f>IF(COUNT(VLOOKUP(A36,'Összesített eredmények'!A:AM,20,0))=0,"-",VLOOKUP(A36,'Összesített eredmények'!A:AM,20,0))</f>
        <v>-</v>
      </c>
      <c r="F36" s="34" t="str">
        <f>IF(COUNT(VLOOKUP(A36,'Összesített eredmények'!A:AN,26,0))=0,"-",VLOOKUP(A36,'Összesített eredmények'!A:AN,26,0))</f>
        <v>-</v>
      </c>
      <c r="G36">
        <f t="shared" si="0"/>
        <v>4.3499999999999996</v>
      </c>
      <c r="H36" t="s">
        <v>103</v>
      </c>
      <c r="I36" s="39">
        <f t="shared" si="1"/>
        <v>4.3499999999999996</v>
      </c>
      <c r="J36" s="39" t="str">
        <f t="shared" si="2"/>
        <v>-</v>
      </c>
      <c r="K36" s="39" t="str">
        <f t="shared" si="3"/>
        <v>-</v>
      </c>
    </row>
    <row r="37" spans="1:11" x14ac:dyDescent="0.25">
      <c r="A37" t="s">
        <v>5</v>
      </c>
      <c r="B37" s="34">
        <f>IF(COUNT(VLOOKUP(A37,'Összesített eredmények'!A:AJ,2,0))=0,"-",VLOOKUP(A37,'Összesített eredmények'!A:AJ,2,0))</f>
        <v>17.18</v>
      </c>
      <c r="C37" s="34">
        <f>IF(COUNT(VLOOKUP(A37,'Összesített eredmények'!A:AK,8,0))=0,"-",VLOOKUP(A37,'Összesített eredmények'!A:AK,8,0))</f>
        <v>10.39</v>
      </c>
      <c r="D37" s="34">
        <f>IF(COUNT(VLOOKUP(A37,'Összesített eredmények'!A:AL,14,0))=0,"-",VLOOKUP(A37,'Összesített eredmények'!A:AL,14,0))</f>
        <v>4.17</v>
      </c>
      <c r="E37" s="34" t="str">
        <f>IF(COUNT(VLOOKUP(A37,'Összesített eredmények'!A:AM,20,0))=0,"-",VLOOKUP(A37,'Összesített eredmények'!A:AM,20,0))</f>
        <v>-</v>
      </c>
      <c r="F37" s="34" t="str">
        <f>IF(COUNT(VLOOKUP(A37,'Összesített eredmények'!A:AN,26,0))=0,"-",VLOOKUP(A37,'Összesített eredmények'!A:AN,26,0))</f>
        <v>-</v>
      </c>
      <c r="G37">
        <f t="shared" si="0"/>
        <v>31.740000000000002</v>
      </c>
      <c r="H37" t="s">
        <v>5</v>
      </c>
      <c r="I37" s="39">
        <f t="shared" si="1"/>
        <v>17.18</v>
      </c>
      <c r="J37" s="39">
        <f t="shared" si="2"/>
        <v>10.39</v>
      </c>
      <c r="K37" s="39">
        <f t="shared" si="3"/>
        <v>4.17</v>
      </c>
    </row>
    <row r="38" spans="1:11" x14ac:dyDescent="0.25">
      <c r="A38" t="s">
        <v>97</v>
      </c>
      <c r="B38" s="39" t="str">
        <f>IF(COUNT(VLOOKUP(A38,'Összesített eredmények'!A:AJ,2,0))=0,"-",VLOOKUP(A38,'Összesített eredmények'!A:AJ,2,0))</f>
        <v>-</v>
      </c>
      <c r="C38" s="39">
        <f>IF(COUNT(VLOOKUP(A38,'Összesített eredmények'!A:AK,8,0))=0,"-",VLOOKUP(A38,'Összesített eredmények'!A:AK,8,0))</f>
        <v>19.899999999999999</v>
      </c>
      <c r="D38" s="39" t="str">
        <f>IF(COUNT(VLOOKUP(A38,'Összesített eredmények'!A:AL,14,0))=0,"-",VLOOKUP(A38,'Összesített eredmények'!A:AL,14,0))</f>
        <v>-</v>
      </c>
      <c r="E38" s="39" t="str">
        <f>IF(COUNT(VLOOKUP(A38,'Összesített eredmények'!A:AM,20,0))=0,"-",VLOOKUP(A38,'Összesített eredmények'!A:AM,20,0))</f>
        <v>-</v>
      </c>
      <c r="F38" s="39" t="str">
        <f>IF(COUNT(VLOOKUP(A38,'Összesített eredmények'!A:AN,26,0))=0,"-",VLOOKUP(A38,'Összesített eredmények'!A:AN,26,0))</f>
        <v>-</v>
      </c>
      <c r="G38">
        <f t="shared" si="0"/>
        <v>19.899999999999999</v>
      </c>
      <c r="H38" t="s">
        <v>97</v>
      </c>
      <c r="I38" s="39">
        <f t="shared" si="1"/>
        <v>19.899999999999999</v>
      </c>
      <c r="J38" s="39" t="str">
        <f t="shared" si="2"/>
        <v>-</v>
      </c>
      <c r="K38" s="39" t="str">
        <f t="shared" si="3"/>
        <v>-</v>
      </c>
    </row>
    <row r="39" spans="1:11" x14ac:dyDescent="0.25">
      <c r="A39" t="s">
        <v>6</v>
      </c>
      <c r="B39" s="39">
        <f>IF(COUNT(VLOOKUP(A39,'Összesített eredmények'!A:AJ,2,0))=0,"-",VLOOKUP(A39,'Összesített eredmények'!A:AJ,2,0))</f>
        <v>0.78</v>
      </c>
      <c r="C39" s="39">
        <f>IF(COUNT(VLOOKUP(A39,'Összesített eredmények'!A:AK,8,0))=0,"-",VLOOKUP(A39,'Összesített eredmények'!A:AK,8,0))</f>
        <v>30.63</v>
      </c>
      <c r="D39" s="39" t="str">
        <f>IF(COUNT(VLOOKUP(A39,'Összesített eredmények'!A:AL,14,0))=0,"-",VLOOKUP(A39,'Összesített eredmények'!A:AL,14,0))</f>
        <v>-</v>
      </c>
      <c r="E39" s="39" t="str">
        <f>IF(COUNT(VLOOKUP(A39,'Összesített eredmények'!A:AM,20,0))=0,"-",VLOOKUP(A39,'Összesített eredmények'!A:AM,20,0))</f>
        <v>-</v>
      </c>
      <c r="F39" s="39" t="str">
        <f>IF(COUNT(VLOOKUP(A39,'Összesített eredmények'!A:AN,26,0))=0,"-",VLOOKUP(A39,'Összesített eredmények'!A:AN,26,0))</f>
        <v>-</v>
      </c>
      <c r="G39">
        <f t="shared" si="0"/>
        <v>31.41</v>
      </c>
      <c r="H39" t="s">
        <v>6</v>
      </c>
      <c r="I39" s="39">
        <f t="shared" si="1"/>
        <v>30.63</v>
      </c>
      <c r="J39" s="39">
        <f t="shared" si="2"/>
        <v>0.78</v>
      </c>
      <c r="K39" s="39" t="str">
        <f t="shared" si="3"/>
        <v>-</v>
      </c>
    </row>
    <row r="40" spans="1:11" x14ac:dyDescent="0.25">
      <c r="A40" t="s">
        <v>75</v>
      </c>
      <c r="B40" s="39" t="str">
        <f>IF(COUNT(VLOOKUP(A40,'Összesített eredmények'!A:AJ,2,0))=0,"-",VLOOKUP(A40,'Összesített eredmények'!A:AJ,2,0))</f>
        <v>-</v>
      </c>
      <c r="C40" s="39">
        <f>IF(COUNT(VLOOKUP(A40,'Összesített eredmények'!A:AK,8,0))=0,"-",VLOOKUP(A40,'Összesített eredmények'!A:AK,8,0))</f>
        <v>43.980000000000004</v>
      </c>
      <c r="D40" s="39">
        <f>IF(COUNT(VLOOKUP(A40,'Összesített eredmények'!A:AL,14,0))=0,"-",VLOOKUP(A40,'Összesített eredmények'!A:AL,14,0))</f>
        <v>4.04</v>
      </c>
      <c r="E40" s="39" t="str">
        <f>IF(COUNT(VLOOKUP(A40,'Összesített eredmények'!A:AM,20,0))=0,"-",VLOOKUP(A40,'Összesített eredmények'!A:AM,20,0))</f>
        <v>-</v>
      </c>
      <c r="F40" s="39" t="str">
        <f>IF(COUNT(VLOOKUP(A40,'Összesített eredmények'!A:AN,26,0))=0,"-",VLOOKUP(A40,'Összesített eredmények'!A:AN,26,0))</f>
        <v>-</v>
      </c>
      <c r="G40">
        <f t="shared" si="0"/>
        <v>48.02</v>
      </c>
      <c r="H40" t="s">
        <v>75</v>
      </c>
      <c r="I40" s="39">
        <f t="shared" si="1"/>
        <v>43.980000000000004</v>
      </c>
      <c r="J40" s="39">
        <f t="shared" si="2"/>
        <v>4.04</v>
      </c>
      <c r="K40" s="39" t="str">
        <f t="shared" si="3"/>
        <v>-</v>
      </c>
    </row>
    <row r="41" spans="1:11" x14ac:dyDescent="0.25">
      <c r="A41" t="s">
        <v>157</v>
      </c>
      <c r="B41" s="39" t="str">
        <f>IF(COUNT(VLOOKUP(A41,'Összesített eredmények'!A:AJ,2,0))=0,"-",VLOOKUP(A41,'Összesített eredmények'!A:AJ,2,0))</f>
        <v>-</v>
      </c>
      <c r="C41" s="39" t="str">
        <f>IF(COUNT(VLOOKUP(A41,'Összesített eredmények'!A:AK,8,0))=0,"-",VLOOKUP(A41,'Összesített eredmények'!A:AK,8,0))</f>
        <v>-</v>
      </c>
      <c r="D41" s="39">
        <f>IF(COUNT(VLOOKUP(A41,'Összesített eredmények'!A:AL,14,0))=0,"-",VLOOKUP(A41,'Összesített eredmények'!A:AL,14,0))</f>
        <v>4.5</v>
      </c>
      <c r="E41" s="39" t="str">
        <f>IF(COUNT(VLOOKUP(A41,'Összesített eredmények'!A:AM,20,0))=0,"-",VLOOKUP(A41,'Összesített eredmények'!A:AM,20,0))</f>
        <v>-</v>
      </c>
      <c r="F41" s="39" t="str">
        <f>IF(COUNT(VLOOKUP(A41,'Összesített eredmények'!A:AN,26,0))=0,"-",VLOOKUP(A41,'Összesített eredmények'!A:AN,26,0))</f>
        <v>-</v>
      </c>
      <c r="G41">
        <f t="shared" si="0"/>
        <v>4.5</v>
      </c>
      <c r="H41" t="s">
        <v>157</v>
      </c>
      <c r="I41" s="39">
        <f t="shared" si="1"/>
        <v>4.5</v>
      </c>
      <c r="J41" s="39" t="str">
        <f t="shared" si="2"/>
        <v>-</v>
      </c>
      <c r="K41" s="39" t="str">
        <f t="shared" si="3"/>
        <v>-</v>
      </c>
    </row>
    <row r="42" spans="1:11" x14ac:dyDescent="0.25">
      <c r="A42" t="s">
        <v>78</v>
      </c>
      <c r="B42" s="39" t="str">
        <f>IF(COUNT(VLOOKUP(A42,'Összesített eredmények'!A:AJ,2,0))=0,"-",VLOOKUP(A42,'Összesített eredmények'!A:AJ,2,0))</f>
        <v>-</v>
      </c>
      <c r="C42" s="39">
        <f>IF(COUNT(VLOOKUP(A42,'Összesített eredmények'!A:AK,8,0))=0,"-",VLOOKUP(A42,'Összesített eredmények'!A:AK,8,0))</f>
        <v>12.98</v>
      </c>
      <c r="D42" s="39" t="str">
        <f>IF(COUNT(VLOOKUP(A42,'Összesített eredmények'!A:AL,14,0))=0,"-",VLOOKUP(A42,'Összesített eredmények'!A:AL,14,0))</f>
        <v>-</v>
      </c>
      <c r="E42" s="39" t="str">
        <f>IF(COUNT(VLOOKUP(A42,'Összesített eredmények'!A:AM,20,0))=0,"-",VLOOKUP(A42,'Összesített eredmények'!A:AM,20,0))</f>
        <v>-</v>
      </c>
      <c r="F42" s="39" t="str">
        <f>IF(COUNT(VLOOKUP(A42,'Összesített eredmények'!A:AN,26,0))=0,"-",VLOOKUP(A42,'Összesített eredmények'!A:AN,26,0))</f>
        <v>-</v>
      </c>
      <c r="G42">
        <f t="shared" si="0"/>
        <v>12.98</v>
      </c>
      <c r="H42" t="s">
        <v>78</v>
      </c>
      <c r="I42" s="39">
        <f t="shared" si="1"/>
        <v>12.98</v>
      </c>
      <c r="J42" s="39" t="str">
        <f t="shared" si="2"/>
        <v>-</v>
      </c>
      <c r="K42" s="39" t="str">
        <f t="shared" si="3"/>
        <v>-</v>
      </c>
    </row>
    <row r="43" spans="1:11" x14ac:dyDescent="0.25">
      <c r="A43" t="s">
        <v>86</v>
      </c>
      <c r="B43" s="39">
        <f>IF(COUNT(VLOOKUP(A43,'Összesített eredmények'!A:AJ,2,0))=0,"-",VLOOKUP(A43,'Összesített eredmények'!A:AJ,2,0))</f>
        <v>57.870000000000005</v>
      </c>
      <c r="C43" s="39" t="str">
        <f>IF(COUNT(VLOOKUP(A43,'Összesített eredmények'!A:AK,8,0))=0,"-",VLOOKUP(A43,'Összesített eredmények'!A:AK,8,0))</f>
        <v>-</v>
      </c>
      <c r="D43" s="39">
        <f>IF(COUNT(VLOOKUP(A43,'Összesített eredmények'!A:AL,14,0))=0,"-",VLOOKUP(A43,'Összesített eredmények'!A:AL,14,0))</f>
        <v>42.180000000000007</v>
      </c>
      <c r="E43" s="39" t="str">
        <f>IF(COUNT(VLOOKUP(A43,'Összesített eredmények'!A:AM,20,0))=0,"-",VLOOKUP(A43,'Összesített eredmények'!A:AM,20,0))</f>
        <v>-</v>
      </c>
      <c r="F43" s="39" t="str">
        <f>IF(COUNT(VLOOKUP(A43,'Összesített eredmények'!A:AN,26,0))=0,"-",VLOOKUP(A43,'Összesített eredmények'!A:AN,26,0))</f>
        <v>-</v>
      </c>
      <c r="G43">
        <f t="shared" si="0"/>
        <v>100.05000000000001</v>
      </c>
      <c r="H43" t="s">
        <v>86</v>
      </c>
      <c r="I43" s="39">
        <f t="shared" si="1"/>
        <v>57.870000000000005</v>
      </c>
      <c r="J43" s="39">
        <f t="shared" si="2"/>
        <v>42.180000000000007</v>
      </c>
      <c r="K43" s="39" t="str">
        <f t="shared" si="3"/>
        <v>-</v>
      </c>
    </row>
    <row r="44" spans="1:11" x14ac:dyDescent="0.25">
      <c r="A44">
        <f>'Összesített eredmények'!A49</f>
        <v>0</v>
      </c>
      <c r="B44" s="39" t="str">
        <f>IF(COUNT(VLOOKUP(A44,'Összesített eredmények'!A:AJ,2,0))=0,"-",VLOOKUP(A44,'Összesített eredmények'!A:AJ,2,0))</f>
        <v>-</v>
      </c>
      <c r="C44" s="39" t="str">
        <f>IF(COUNT(VLOOKUP(A44,'Összesített eredmények'!A:AK,8,0))=0,"-",VLOOKUP(A44,'Összesített eredmények'!A:AK,8,0))</f>
        <v>-</v>
      </c>
      <c r="D44" s="39" t="str">
        <f>IF(COUNT(VLOOKUP(A44,'Összesített eredmények'!A:AL,14,0))=0,"-",VLOOKUP(A44,'Összesített eredmények'!A:AL,14,0))</f>
        <v>-</v>
      </c>
      <c r="E44" s="39" t="str">
        <f>IF(COUNT(VLOOKUP(A44,'Összesített eredmények'!A:AM,20,0))=0,"-",VLOOKUP(A44,'Összesített eredmények'!A:AM,20,0))</f>
        <v>-</v>
      </c>
      <c r="F44" s="39" t="str">
        <f>IF(COUNT(VLOOKUP(A44,'Összesített eredmények'!A:AN,26,0))=0,"-",VLOOKUP(A44,'Összesített eredmények'!A:AN,26,0))</f>
        <v>-</v>
      </c>
      <c r="G44">
        <f t="shared" si="0"/>
        <v>0</v>
      </c>
      <c r="H44">
        <v>0</v>
      </c>
      <c r="I44" s="39" t="str">
        <f t="shared" si="1"/>
        <v>-</v>
      </c>
      <c r="J44" s="39" t="str">
        <f t="shared" si="2"/>
        <v>-</v>
      </c>
      <c r="K44" s="39" t="str">
        <f t="shared" si="3"/>
        <v>-</v>
      </c>
    </row>
    <row r="45" spans="1:11" x14ac:dyDescent="0.25">
      <c r="A45">
        <f>'Összesített eredmények'!A50</f>
        <v>0</v>
      </c>
      <c r="B45" s="39" t="str">
        <f>IF(COUNT(VLOOKUP(A45,'Összesített eredmények'!A:AJ,2,0))=0,"-",VLOOKUP(A45,'Összesített eredmények'!A:AJ,2,0))</f>
        <v>-</v>
      </c>
      <c r="C45" s="39" t="str">
        <f>IF(COUNT(VLOOKUP(A45,'Összesített eredmények'!A:AK,8,0))=0,"-",VLOOKUP(A45,'Összesített eredmények'!A:AK,8,0))</f>
        <v>-</v>
      </c>
      <c r="D45" s="39" t="str">
        <f>IF(COUNT(VLOOKUP(A45,'Összesített eredmények'!A:AL,14,0))=0,"-",VLOOKUP(A45,'Összesített eredmények'!A:AL,14,0))</f>
        <v>-</v>
      </c>
      <c r="E45" s="39" t="str">
        <f>IF(COUNT(VLOOKUP(A45,'Összesített eredmények'!A:AM,20,0))=0,"-",VLOOKUP(A45,'Összesített eredmények'!A:AM,20,0))</f>
        <v>-</v>
      </c>
      <c r="F45" s="39" t="str">
        <f>IF(COUNT(VLOOKUP(A45,'Összesített eredmények'!A:AN,26,0))=0,"-",VLOOKUP(A45,'Összesített eredmények'!A:AN,26,0))</f>
        <v>-</v>
      </c>
      <c r="G45">
        <f t="shared" si="0"/>
        <v>0</v>
      </c>
      <c r="H45">
        <v>0</v>
      </c>
      <c r="I45" s="39" t="str">
        <f t="shared" si="1"/>
        <v>-</v>
      </c>
      <c r="J45" s="39" t="str">
        <f t="shared" si="2"/>
        <v>-</v>
      </c>
      <c r="K45" s="39" t="str">
        <f t="shared" si="3"/>
        <v>-</v>
      </c>
    </row>
    <row r="46" spans="1:11" x14ac:dyDescent="0.25">
      <c r="A46">
        <f>'Összesített eredmények'!A51</f>
        <v>0</v>
      </c>
      <c r="B46" s="39" t="str">
        <f>IF(COUNT(VLOOKUP(A46,'Összesített eredmények'!A:AJ,2,0))=0,"-",VLOOKUP(A46,'Összesített eredmények'!A:AJ,2,0))</f>
        <v>-</v>
      </c>
      <c r="C46" s="39" t="str">
        <f>IF(COUNT(VLOOKUP(A46,'Összesített eredmények'!A:AK,8,0))=0,"-",VLOOKUP(A46,'Összesített eredmények'!A:AK,8,0))</f>
        <v>-</v>
      </c>
      <c r="D46" s="39" t="str">
        <f>IF(COUNT(VLOOKUP(A46,'Összesített eredmények'!A:AL,14,0))=0,"-",VLOOKUP(A46,'Összesített eredmények'!A:AL,14,0))</f>
        <v>-</v>
      </c>
      <c r="E46" s="39" t="str">
        <f>IF(COUNT(VLOOKUP(A46,'Összesített eredmények'!A:AM,20,0))=0,"-",VLOOKUP(A46,'Összesített eredmények'!A:AM,20,0))</f>
        <v>-</v>
      </c>
      <c r="F46" s="39" t="str">
        <f>IF(COUNT(VLOOKUP(A46,'Összesített eredmények'!A:AN,26,0))=0,"-",VLOOKUP(A46,'Összesített eredmények'!A:AN,26,0))</f>
        <v>-</v>
      </c>
      <c r="G46">
        <f t="shared" si="0"/>
        <v>0</v>
      </c>
      <c r="H46">
        <v>0</v>
      </c>
      <c r="I46" s="39" t="str">
        <f t="shared" si="1"/>
        <v>-</v>
      </c>
      <c r="J46" s="39" t="str">
        <f t="shared" si="2"/>
        <v>-</v>
      </c>
      <c r="K46" s="39" t="str">
        <f t="shared" si="3"/>
        <v>-</v>
      </c>
    </row>
  </sheetData>
  <conditionalFormatting sqref="G1">
    <cfRule type="top10" dxfId="3" priority="2" rank="3"/>
  </conditionalFormatting>
  <conditionalFormatting sqref="G1:G1048576">
    <cfRule type="top10" dxfId="2" priority="1" rank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580AB-D695-451A-8EC2-443798721E52}">
  <dimension ref="A1:O46"/>
  <sheetViews>
    <sheetView workbookViewId="0">
      <pane ySplit="1" topLeftCell="A2" activePane="bottomLeft" state="frozen"/>
      <selection pane="bottomLeft" activeCell="B10" sqref="B10"/>
    </sheetView>
  </sheetViews>
  <sheetFormatPr defaultRowHeight="15" x14ac:dyDescent="0.25"/>
  <cols>
    <col min="1" max="1" width="16.7109375" bestFit="1" customWidth="1"/>
    <col min="2" max="6" width="13.42578125" style="34" bestFit="1" customWidth="1"/>
    <col min="8" max="8" width="16.7109375" bestFit="1" customWidth="1"/>
    <col min="9" max="9" width="7.85546875" style="39" bestFit="1" customWidth="1"/>
    <col min="10" max="11" width="9.85546875" style="39" bestFit="1" customWidth="1"/>
    <col min="15" max="15" width="18" customWidth="1"/>
  </cols>
  <sheetData>
    <row r="1" spans="1:15" s="7" customFormat="1" x14ac:dyDescent="0.25">
      <c r="A1" s="7" t="s">
        <v>9</v>
      </c>
      <c r="B1" s="7" t="s">
        <v>137</v>
      </c>
      <c r="C1" s="7" t="s">
        <v>138</v>
      </c>
      <c r="D1" s="7" t="s">
        <v>139</v>
      </c>
      <c r="E1" s="7" t="s">
        <v>140</v>
      </c>
      <c r="F1" s="7" t="s">
        <v>141</v>
      </c>
      <c r="G1" s="7" t="s">
        <v>142</v>
      </c>
      <c r="H1" s="7" t="s">
        <v>9</v>
      </c>
      <c r="I1" s="39" t="s">
        <v>158</v>
      </c>
      <c r="J1" s="39" t="s">
        <v>159</v>
      </c>
      <c r="K1" s="39" t="s">
        <v>160</v>
      </c>
      <c r="M1" s="38" t="s">
        <v>149</v>
      </c>
      <c r="N1" t="s">
        <v>151</v>
      </c>
      <c r="O1" s="7" t="s">
        <v>135</v>
      </c>
    </row>
    <row r="2" spans="1:15" x14ac:dyDescent="0.25">
      <c r="A2" t="s">
        <v>27</v>
      </c>
      <c r="B2" s="34">
        <f>IFERROR(VLOOKUP(A2,'Összesített eredmények'!A:AI,3,0),"-")</f>
        <v>5</v>
      </c>
      <c r="C2" s="34" t="str">
        <f>IFERROR(VLOOKUP(A2,'Összesített eredmények'!A:AJ,9,0),"-")</f>
        <v>-</v>
      </c>
      <c r="D2" s="34">
        <f>IFERROR(VLOOKUP(A2,'Összesített eredmények'!A:AK,15,0),"-")</f>
        <v>0</v>
      </c>
      <c r="E2" s="34" t="str">
        <f>IFERROR(VLOOKUP(D2,'Összesített eredmények'!A:AL,21,0),"-")</f>
        <v>-</v>
      </c>
      <c r="F2" s="34" t="str">
        <f>IFERROR(VLOOKUP(E2,'Összesített eredmények'!A:AM,27,0),"-")</f>
        <v>-</v>
      </c>
      <c r="G2">
        <f>SUM(I2:K2)</f>
        <v>5</v>
      </c>
      <c r="H2" t="s">
        <v>27</v>
      </c>
      <c r="I2" s="39">
        <f>IFERROR(LARGE(B2:F2,1),"-")</f>
        <v>5</v>
      </c>
      <c r="J2" s="39">
        <f>IFERROR(LARGE(B2:F2,2),"-")</f>
        <v>0</v>
      </c>
      <c r="K2" s="39" t="str">
        <f>IFERROR(LARGE(B2:F2,3),"-")</f>
        <v>-</v>
      </c>
      <c r="M2" s="38">
        <v>1</v>
      </c>
      <c r="N2">
        <f>LARGE(G:G,1)</f>
        <v>73</v>
      </c>
      <c r="O2" t="str">
        <f>VLOOKUP(N2,G:H,2,0)</f>
        <v>Ballabás László</v>
      </c>
    </row>
    <row r="3" spans="1:15" x14ac:dyDescent="0.25">
      <c r="A3" t="s">
        <v>82</v>
      </c>
      <c r="B3" s="39" t="str">
        <f>IFERROR(VLOOKUP(A3,'Összesített eredmények'!A:AI,3,0),"-")</f>
        <v>-</v>
      </c>
      <c r="C3" s="39">
        <f>IFERROR(VLOOKUP(A3,'Összesített eredmények'!A:AJ,9,0),"-")</f>
        <v>8</v>
      </c>
      <c r="D3" s="39">
        <f>IFERROR(VLOOKUP(A3,'Összesített eredmények'!A:AK,15,0),"-")</f>
        <v>12</v>
      </c>
      <c r="E3" s="39" t="str">
        <f>IFERROR(VLOOKUP(D3,'Összesített eredmények'!A:AL,21,0),"-")</f>
        <v>-</v>
      </c>
      <c r="F3" s="39" t="str">
        <f>IFERROR(VLOOKUP(E3,'Összesített eredmények'!A:AM,27,0),"-")</f>
        <v>-</v>
      </c>
      <c r="G3">
        <f t="shared" ref="G3:G46" si="0">SUM(I3:K3)</f>
        <v>20</v>
      </c>
      <c r="H3" t="s">
        <v>82</v>
      </c>
      <c r="I3" s="39">
        <f t="shared" ref="I3:I46" si="1">IFERROR(LARGE(B3:F3,1),"-")</f>
        <v>12</v>
      </c>
      <c r="J3" s="39">
        <f t="shared" ref="J3:J46" si="2">IFERROR(LARGE(B3:F3,2),"-")</f>
        <v>8</v>
      </c>
      <c r="K3" s="39" t="str">
        <f t="shared" ref="K3:K46" si="3">IFERROR(LARGE(B3:F3,3),"-")</f>
        <v>-</v>
      </c>
      <c r="M3" s="38">
        <v>2</v>
      </c>
      <c r="N3">
        <f>LARGE(G:G,2)</f>
        <v>73</v>
      </c>
      <c r="O3" t="s">
        <v>30</v>
      </c>
    </row>
    <row r="4" spans="1:15" x14ac:dyDescent="0.25">
      <c r="A4" t="s">
        <v>26</v>
      </c>
      <c r="B4" s="39">
        <f>IFERROR(VLOOKUP(A4,'Összesített eredmények'!A:AI,3,0),"-")</f>
        <v>9</v>
      </c>
      <c r="C4" s="39">
        <f>IFERROR(VLOOKUP(A4,'Összesített eredmények'!A:AJ,9,0),"-")</f>
        <v>18</v>
      </c>
      <c r="D4" s="39">
        <f>IFERROR(VLOOKUP(A4,'Összesített eredmények'!A:AK,15,0),"-")</f>
        <v>4</v>
      </c>
      <c r="E4" s="39" t="str">
        <f>IFERROR(VLOOKUP(D4,'Összesített eredmények'!A:AL,21,0),"-")</f>
        <v>-</v>
      </c>
      <c r="F4" s="39" t="str">
        <f>IFERROR(VLOOKUP(E4,'Összesített eredmények'!A:AM,27,0),"-")</f>
        <v>-</v>
      </c>
      <c r="G4">
        <f t="shared" si="0"/>
        <v>31</v>
      </c>
      <c r="H4" t="s">
        <v>26</v>
      </c>
      <c r="I4" s="39">
        <f t="shared" si="1"/>
        <v>18</v>
      </c>
      <c r="J4" s="39">
        <f t="shared" si="2"/>
        <v>9</v>
      </c>
      <c r="K4" s="39">
        <f t="shared" si="3"/>
        <v>4</v>
      </c>
      <c r="M4" s="38">
        <v>3</v>
      </c>
      <c r="N4">
        <f>LARGE(G:G,3)</f>
        <v>70</v>
      </c>
      <c r="O4" t="str">
        <f t="shared" ref="O3:O11" si="4">VLOOKUP(N4,G:H,2,0)</f>
        <v>Malecz Ferenc</v>
      </c>
    </row>
    <row r="5" spans="1:15" x14ac:dyDescent="0.25">
      <c r="A5" t="s">
        <v>80</v>
      </c>
      <c r="B5" s="39" t="str">
        <f>IFERROR(VLOOKUP(A5,'Összesített eredmények'!A:AI,3,0),"-")</f>
        <v>-</v>
      </c>
      <c r="C5" s="39">
        <f>IFERROR(VLOOKUP(A5,'Összesített eredmények'!A:AJ,9,0),"-")</f>
        <v>36</v>
      </c>
      <c r="D5" s="39" t="str">
        <f>IFERROR(VLOOKUP(A5,'Összesített eredmények'!A:AK,15,0),"-")</f>
        <v>-</v>
      </c>
      <c r="E5" s="39" t="str">
        <f>IFERROR(VLOOKUP(D5,'Összesített eredmények'!A:AL,21,0),"-")</f>
        <v>-</v>
      </c>
      <c r="F5" s="39" t="str">
        <f>IFERROR(VLOOKUP(E5,'Összesített eredmények'!A:AM,27,0),"-")</f>
        <v>-</v>
      </c>
      <c r="G5">
        <f t="shared" si="0"/>
        <v>36</v>
      </c>
      <c r="H5" t="s">
        <v>80</v>
      </c>
      <c r="I5" s="39">
        <f t="shared" si="1"/>
        <v>36</v>
      </c>
      <c r="J5" s="39" t="str">
        <f t="shared" si="2"/>
        <v>-</v>
      </c>
      <c r="K5" s="39" t="str">
        <f t="shared" si="3"/>
        <v>-</v>
      </c>
      <c r="M5" s="38">
        <v>4</v>
      </c>
      <c r="N5">
        <f>LARGE(G:G,4)</f>
        <v>52</v>
      </c>
      <c r="O5" t="str">
        <f t="shared" si="4"/>
        <v>Bánhegyi Gergely</v>
      </c>
    </row>
    <row r="6" spans="1:15" x14ac:dyDescent="0.25">
      <c r="A6" t="s">
        <v>25</v>
      </c>
      <c r="B6" s="39">
        <f>IFERROR(VLOOKUP(A6,'Összesített eredmények'!A:AI,3,0),"-")</f>
        <v>27</v>
      </c>
      <c r="C6" s="39">
        <f>IFERROR(VLOOKUP(A6,'Összesített eredmények'!A:AJ,9,0),"-")</f>
        <v>25</v>
      </c>
      <c r="D6" s="39">
        <f>IFERROR(VLOOKUP(A6,'Összesített eredmények'!A:AK,15,0),"-")</f>
        <v>21</v>
      </c>
      <c r="E6" s="39" t="str">
        <f>IFERROR(VLOOKUP(D6,'Összesített eredmények'!A:AL,21,0),"-")</f>
        <v>-</v>
      </c>
      <c r="F6" s="39" t="str">
        <f>IFERROR(VLOOKUP(E6,'Összesített eredmények'!A:AM,27,0),"-")</f>
        <v>-</v>
      </c>
      <c r="G6">
        <f t="shared" si="0"/>
        <v>73</v>
      </c>
      <c r="H6" t="s">
        <v>25</v>
      </c>
      <c r="I6" s="39">
        <f t="shared" si="1"/>
        <v>27</v>
      </c>
      <c r="J6" s="39">
        <f t="shared" si="2"/>
        <v>25</v>
      </c>
      <c r="K6" s="39">
        <f t="shared" si="3"/>
        <v>21</v>
      </c>
      <c r="M6" s="38">
        <v>5</v>
      </c>
      <c r="N6">
        <f>LARGE(G:G,5)</f>
        <v>52</v>
      </c>
      <c r="O6" t="s">
        <v>31</v>
      </c>
    </row>
    <row r="7" spans="1:15" x14ac:dyDescent="0.25">
      <c r="A7" t="s">
        <v>79</v>
      </c>
      <c r="B7" s="39" t="str">
        <f>IFERROR(VLOOKUP(A7,'Összesített eredmények'!A:AI,3,0),"-")</f>
        <v>-</v>
      </c>
      <c r="C7" s="39">
        <f>IFERROR(VLOOKUP(A7,'Összesített eredmények'!A:AJ,9,0),"-")</f>
        <v>24</v>
      </c>
      <c r="D7" s="39" t="str">
        <f>IFERROR(VLOOKUP(A7,'Összesített eredmények'!A:AK,15,0),"-")</f>
        <v>-</v>
      </c>
      <c r="E7" s="39" t="str">
        <f>IFERROR(VLOOKUP(D7,'Összesített eredmények'!A:AL,21,0),"-")</f>
        <v>-</v>
      </c>
      <c r="F7" s="39" t="str">
        <f>IFERROR(VLOOKUP(E7,'Összesített eredmények'!A:AM,27,0),"-")</f>
        <v>-</v>
      </c>
      <c r="G7">
        <f t="shared" si="0"/>
        <v>24</v>
      </c>
      <c r="H7" t="s">
        <v>79</v>
      </c>
      <c r="I7" s="39">
        <f t="shared" si="1"/>
        <v>24</v>
      </c>
      <c r="J7" s="39" t="str">
        <f t="shared" si="2"/>
        <v>-</v>
      </c>
      <c r="K7" s="39" t="str">
        <f t="shared" si="3"/>
        <v>-</v>
      </c>
      <c r="M7" s="38">
        <v>6</v>
      </c>
      <c r="N7">
        <f>LARGE(G:G,6)</f>
        <v>47</v>
      </c>
      <c r="O7" t="str">
        <f t="shared" si="4"/>
        <v>Bercu András</v>
      </c>
    </row>
    <row r="8" spans="1:15" x14ac:dyDescent="0.25">
      <c r="A8" t="s">
        <v>101</v>
      </c>
      <c r="B8" s="39" t="str">
        <f>IFERROR(VLOOKUP(A8,'Összesített eredmények'!A:AI,3,0),"-")</f>
        <v>-</v>
      </c>
      <c r="C8" s="39">
        <f>IFERROR(VLOOKUP(A8,'Összesített eredmények'!A:AJ,9,0),"-")</f>
        <v>25</v>
      </c>
      <c r="D8" s="39">
        <f>IFERROR(VLOOKUP(A8,'Összesített eredmények'!A:AK,15,0),"-")</f>
        <v>11</v>
      </c>
      <c r="E8" s="39" t="str">
        <f>IFERROR(VLOOKUP(D8,'Összesített eredmények'!A:AL,21,0),"-")</f>
        <v>-</v>
      </c>
      <c r="F8" s="39" t="str">
        <f>IFERROR(VLOOKUP(E8,'Összesített eredmények'!A:AM,27,0),"-")</f>
        <v>-</v>
      </c>
      <c r="G8">
        <f t="shared" si="0"/>
        <v>36</v>
      </c>
      <c r="H8" t="s">
        <v>101</v>
      </c>
      <c r="I8" s="39">
        <f t="shared" si="1"/>
        <v>25</v>
      </c>
      <c r="J8" s="39">
        <f t="shared" si="2"/>
        <v>11</v>
      </c>
      <c r="K8" s="39" t="str">
        <f t="shared" si="3"/>
        <v>-</v>
      </c>
      <c r="M8" s="38">
        <v>7</v>
      </c>
      <c r="N8">
        <f>LARGE(G:G,7)</f>
        <v>44</v>
      </c>
      <c r="O8" t="str">
        <f t="shared" si="4"/>
        <v>Nagy Ákos</v>
      </c>
    </row>
    <row r="9" spans="1:15" x14ac:dyDescent="0.25">
      <c r="A9" t="s">
        <v>153</v>
      </c>
      <c r="B9" s="39" t="str">
        <f>IFERROR(VLOOKUP(A9,'Összesített eredmények'!A:AI,3,0),"-")</f>
        <v>-</v>
      </c>
      <c r="C9" s="39" t="str">
        <f>IFERROR(VLOOKUP(A9,'Összesített eredmények'!A:AJ,9,0),"-")</f>
        <v>-</v>
      </c>
      <c r="D9" s="39">
        <f>IFERROR(VLOOKUP(A9,'Összesített eredmények'!A:AK,15,0),"-")</f>
        <v>7</v>
      </c>
      <c r="E9" s="39" t="str">
        <f>IFERROR(VLOOKUP(D9,'Összesített eredmények'!A:AL,21,0),"-")</f>
        <v>-</v>
      </c>
      <c r="F9" s="39" t="str">
        <f>IFERROR(VLOOKUP(E9,'Összesített eredmények'!A:AM,27,0),"-")</f>
        <v>-</v>
      </c>
      <c r="G9">
        <f t="shared" si="0"/>
        <v>7</v>
      </c>
      <c r="H9" t="s">
        <v>153</v>
      </c>
      <c r="I9" s="39">
        <f t="shared" si="1"/>
        <v>7</v>
      </c>
      <c r="J9" s="39" t="str">
        <f t="shared" si="2"/>
        <v>-</v>
      </c>
      <c r="K9" s="39" t="str">
        <f t="shared" si="3"/>
        <v>-</v>
      </c>
      <c r="M9" s="38">
        <v>8</v>
      </c>
      <c r="N9">
        <f>LARGE(G:G,8)</f>
        <v>41</v>
      </c>
      <c r="O9" t="str">
        <f t="shared" si="4"/>
        <v>Kovács Attila</v>
      </c>
    </row>
    <row r="10" spans="1:15" x14ac:dyDescent="0.25">
      <c r="A10" t="s">
        <v>99</v>
      </c>
      <c r="B10" s="39" t="str">
        <f>IFERROR(VLOOKUP(A10,'Összesített eredmények'!A:AI,3,0),"-")</f>
        <v>-</v>
      </c>
      <c r="C10" s="39">
        <f>IFERROR(VLOOKUP(A10,'Összesített eredmények'!A:AJ,9,0),"-")</f>
        <v>39</v>
      </c>
      <c r="D10" s="39">
        <f>IFERROR(VLOOKUP(A10,'Összesített eredmények'!A:AK,15,0),"-")</f>
        <v>13</v>
      </c>
      <c r="E10" s="39" t="str">
        <f>IFERROR(VLOOKUP(D10,'Összesített eredmények'!A:AL,21,0),"-")</f>
        <v>-</v>
      </c>
      <c r="F10" s="39" t="str">
        <f>IFERROR(VLOOKUP(E10,'Összesített eredmények'!A:AM,27,0),"-")</f>
        <v>-</v>
      </c>
      <c r="G10">
        <f t="shared" si="0"/>
        <v>52</v>
      </c>
      <c r="H10" t="s">
        <v>99</v>
      </c>
      <c r="I10" s="39">
        <f t="shared" si="1"/>
        <v>39</v>
      </c>
      <c r="J10" s="39">
        <f t="shared" si="2"/>
        <v>13</v>
      </c>
      <c r="K10" s="39" t="str">
        <f t="shared" si="3"/>
        <v>-</v>
      </c>
      <c r="M10" s="38">
        <v>9</v>
      </c>
      <c r="N10">
        <f>LARGE(G:G,9)</f>
        <v>40</v>
      </c>
      <c r="O10" t="str">
        <f t="shared" si="4"/>
        <v>Körmendi János</v>
      </c>
    </row>
    <row r="11" spans="1:15" x14ac:dyDescent="0.25">
      <c r="A11" t="s">
        <v>95</v>
      </c>
      <c r="B11" s="39">
        <f>IFERROR(VLOOKUP(A11,'Összesített eredmények'!A:AI,3,0),"-")</f>
        <v>23</v>
      </c>
      <c r="C11" s="39">
        <f>IFERROR(VLOOKUP(A11,'Összesített eredmények'!A:AJ,9,0),"-")</f>
        <v>24</v>
      </c>
      <c r="D11" s="39" t="str">
        <f>IFERROR(VLOOKUP(A11,'Összesített eredmények'!A:AK,15,0),"-")</f>
        <v>-</v>
      </c>
      <c r="E11" s="39" t="str">
        <f>IFERROR(VLOOKUP(D11,'Összesített eredmények'!A:AL,21,0),"-")</f>
        <v>-</v>
      </c>
      <c r="F11" s="39" t="str">
        <f>IFERROR(VLOOKUP(E11,'Összesített eredmények'!A:AM,27,0),"-")</f>
        <v>-</v>
      </c>
      <c r="G11">
        <f t="shared" si="0"/>
        <v>47</v>
      </c>
      <c r="H11" t="s">
        <v>95</v>
      </c>
      <c r="I11" s="39">
        <f t="shared" si="1"/>
        <v>24</v>
      </c>
      <c r="J11" s="39">
        <f t="shared" si="2"/>
        <v>23</v>
      </c>
      <c r="K11" s="39" t="str">
        <f t="shared" si="3"/>
        <v>-</v>
      </c>
      <c r="M11" s="38">
        <v>10</v>
      </c>
      <c r="N11">
        <f>LARGE(G:G,10)</f>
        <v>36</v>
      </c>
      <c r="O11" t="str">
        <f t="shared" si="4"/>
        <v>Ballabás András</v>
      </c>
    </row>
    <row r="12" spans="1:15" x14ac:dyDescent="0.25">
      <c r="A12" t="s">
        <v>24</v>
      </c>
      <c r="B12" s="39">
        <f>IFERROR(VLOOKUP(A12,'Összesített eredmények'!A:AI,3,0),"-")</f>
        <v>2</v>
      </c>
      <c r="C12" s="39" t="str">
        <f>IFERROR(VLOOKUP(A12,'Összesített eredmények'!A:AJ,9,0),"-")</f>
        <v>-</v>
      </c>
      <c r="D12" s="39" t="str">
        <f>IFERROR(VLOOKUP(A12,'Összesített eredmények'!A:AK,15,0),"-")</f>
        <v>-</v>
      </c>
      <c r="E12" s="39" t="str">
        <f>IFERROR(VLOOKUP(D12,'Összesített eredmények'!A:AL,21,0),"-")</f>
        <v>-</v>
      </c>
      <c r="F12" s="39" t="str">
        <f>IFERROR(VLOOKUP(E12,'Összesített eredmények'!A:AM,27,0),"-")</f>
        <v>-</v>
      </c>
      <c r="G12">
        <f t="shared" si="0"/>
        <v>2</v>
      </c>
      <c r="H12" t="s">
        <v>24</v>
      </c>
      <c r="I12" s="39">
        <f t="shared" si="1"/>
        <v>2</v>
      </c>
      <c r="J12" s="39" t="str">
        <f t="shared" si="2"/>
        <v>-</v>
      </c>
      <c r="K12" s="39" t="str">
        <f t="shared" si="3"/>
        <v>-</v>
      </c>
    </row>
    <row r="13" spans="1:15" x14ac:dyDescent="0.25">
      <c r="A13" t="s">
        <v>77</v>
      </c>
      <c r="B13" s="39" t="str">
        <f>IFERROR(VLOOKUP(A13,'Összesített eredmények'!A:AI,3,0),"-")</f>
        <v>-</v>
      </c>
      <c r="C13" s="39">
        <f>IFERROR(VLOOKUP(A13,'Összesített eredmények'!A:AJ,9,0),"-")</f>
        <v>10</v>
      </c>
      <c r="D13" s="39" t="str">
        <f>IFERROR(VLOOKUP(A13,'Összesített eredmények'!A:AK,15,0),"-")</f>
        <v>-</v>
      </c>
      <c r="E13" s="39" t="str">
        <f>IFERROR(VLOOKUP(D13,'Összesített eredmények'!A:AL,21,0),"-")</f>
        <v>-</v>
      </c>
      <c r="F13" s="39" t="str">
        <f>IFERROR(VLOOKUP(E13,'Összesített eredmények'!A:AM,27,0),"-")</f>
        <v>-</v>
      </c>
      <c r="G13">
        <f t="shared" si="0"/>
        <v>10</v>
      </c>
      <c r="H13" t="s">
        <v>77</v>
      </c>
      <c r="I13" s="39">
        <f t="shared" si="1"/>
        <v>10</v>
      </c>
      <c r="J13" s="39" t="str">
        <f t="shared" si="2"/>
        <v>-</v>
      </c>
      <c r="K13" s="39" t="str">
        <f t="shared" si="3"/>
        <v>-</v>
      </c>
    </row>
    <row r="14" spans="1:15" x14ac:dyDescent="0.25">
      <c r="A14" t="s">
        <v>83</v>
      </c>
      <c r="B14" s="39" t="str">
        <f>IFERROR(VLOOKUP(A14,'Összesített eredmények'!A:AI,3,0),"-")</f>
        <v>-</v>
      </c>
      <c r="C14" s="39">
        <f>IFERROR(VLOOKUP(A14,'Összesített eredmények'!A:AJ,9,0),"-")</f>
        <v>1</v>
      </c>
      <c r="D14" s="39" t="str">
        <f>IFERROR(VLOOKUP(A14,'Összesített eredmények'!A:AK,15,0),"-")</f>
        <v>-</v>
      </c>
      <c r="E14" s="39" t="str">
        <f>IFERROR(VLOOKUP(D14,'Összesített eredmények'!A:AL,21,0),"-")</f>
        <v>-</v>
      </c>
      <c r="F14" s="39" t="str">
        <f>IFERROR(VLOOKUP(E14,'Összesített eredmények'!A:AM,27,0),"-")</f>
        <v>-</v>
      </c>
      <c r="G14">
        <f t="shared" si="0"/>
        <v>1</v>
      </c>
      <c r="H14" t="s">
        <v>83</v>
      </c>
      <c r="I14" s="39">
        <f t="shared" si="1"/>
        <v>1</v>
      </c>
      <c r="J14" s="39" t="str">
        <f t="shared" si="2"/>
        <v>-</v>
      </c>
      <c r="K14" s="39" t="str">
        <f t="shared" si="3"/>
        <v>-</v>
      </c>
    </row>
    <row r="15" spans="1:15" x14ac:dyDescent="0.25">
      <c r="A15" t="s">
        <v>96</v>
      </c>
      <c r="B15" s="39" t="str">
        <f>IFERROR(VLOOKUP(A15,'Összesített eredmények'!A:AI,3,0),"-")</f>
        <v>-</v>
      </c>
      <c r="C15" s="39">
        <f>IFERROR(VLOOKUP(A15,'Összesített eredmények'!A:AJ,9,0),"-")</f>
        <v>15</v>
      </c>
      <c r="D15" s="39" t="str">
        <f>IFERROR(VLOOKUP(A15,'Összesített eredmények'!A:AK,15,0),"-")</f>
        <v>-</v>
      </c>
      <c r="E15" s="39" t="str">
        <f>IFERROR(VLOOKUP(D15,'Összesített eredmények'!A:AL,21,0),"-")</f>
        <v>-</v>
      </c>
      <c r="F15" s="39" t="str">
        <f>IFERROR(VLOOKUP(E15,'Összesített eredmények'!A:AM,27,0),"-")</f>
        <v>-</v>
      </c>
      <c r="G15">
        <f t="shared" si="0"/>
        <v>15</v>
      </c>
      <c r="H15" t="s">
        <v>96</v>
      </c>
      <c r="I15" s="39">
        <f t="shared" si="1"/>
        <v>15</v>
      </c>
      <c r="J15" s="39" t="str">
        <f t="shared" si="2"/>
        <v>-</v>
      </c>
      <c r="K15" s="39" t="str">
        <f t="shared" si="3"/>
        <v>-</v>
      </c>
    </row>
    <row r="16" spans="1:15" x14ac:dyDescent="0.25">
      <c r="A16" t="s">
        <v>105</v>
      </c>
      <c r="B16" s="39" t="str">
        <f>IFERROR(VLOOKUP(A16,'Összesített eredmények'!A:AI,3,0),"-")</f>
        <v>-</v>
      </c>
      <c r="C16" s="39">
        <f>IFERROR(VLOOKUP(A16,'Összesített eredmények'!A:AJ,9,0),"-")</f>
        <v>1</v>
      </c>
      <c r="D16" s="39" t="str">
        <f>IFERROR(VLOOKUP(A16,'Összesített eredmények'!A:AK,15,0),"-")</f>
        <v>-</v>
      </c>
      <c r="E16" s="39" t="str">
        <f>IFERROR(VLOOKUP(D16,'Összesített eredmények'!A:AL,21,0),"-")</f>
        <v>-</v>
      </c>
      <c r="F16" s="39" t="str">
        <f>IFERROR(VLOOKUP(E16,'Összesített eredmények'!A:AM,27,0),"-")</f>
        <v>-</v>
      </c>
      <c r="G16">
        <f t="shared" si="0"/>
        <v>1</v>
      </c>
      <c r="H16" t="s">
        <v>105</v>
      </c>
      <c r="I16" s="39">
        <f t="shared" si="1"/>
        <v>1</v>
      </c>
      <c r="J16" s="39" t="str">
        <f t="shared" si="2"/>
        <v>-</v>
      </c>
      <c r="K16" s="39" t="str">
        <f t="shared" si="3"/>
        <v>-</v>
      </c>
    </row>
    <row r="17" spans="1:11" x14ac:dyDescent="0.25">
      <c r="A17" t="s">
        <v>104</v>
      </c>
      <c r="B17" s="39" t="str">
        <f>IFERROR(VLOOKUP(A17,'Összesített eredmények'!A:AI,3,0),"-")</f>
        <v>-</v>
      </c>
      <c r="C17" s="39">
        <f>IFERROR(VLOOKUP(A17,'Összesített eredmények'!A:AJ,9,0),"-")</f>
        <v>1</v>
      </c>
      <c r="D17" s="39" t="str">
        <f>IFERROR(VLOOKUP(A17,'Összesített eredmények'!A:AK,15,0),"-")</f>
        <v>-</v>
      </c>
      <c r="E17" s="39" t="str">
        <f>IFERROR(VLOOKUP(D17,'Összesített eredmények'!A:AL,21,0),"-")</f>
        <v>-</v>
      </c>
      <c r="F17" s="39" t="str">
        <f>IFERROR(VLOOKUP(E17,'Összesített eredmények'!A:AM,27,0),"-")</f>
        <v>-</v>
      </c>
      <c r="G17">
        <f t="shared" si="0"/>
        <v>1</v>
      </c>
      <c r="H17" t="s">
        <v>104</v>
      </c>
      <c r="I17" s="39">
        <f t="shared" si="1"/>
        <v>1</v>
      </c>
      <c r="J17" s="39" t="str">
        <f t="shared" si="2"/>
        <v>-</v>
      </c>
      <c r="K17" s="39" t="str">
        <f t="shared" si="3"/>
        <v>-</v>
      </c>
    </row>
    <row r="18" spans="1:11" x14ac:dyDescent="0.25">
      <c r="A18" t="s">
        <v>16</v>
      </c>
      <c r="B18" s="39">
        <f>IFERROR(VLOOKUP(A18,'Összesített eredmények'!A:AI,3,0),"-")</f>
        <v>11</v>
      </c>
      <c r="C18" s="39" t="str">
        <f>IFERROR(VLOOKUP(A18,'Összesített eredmények'!A:AJ,9,0),"-")</f>
        <v>-</v>
      </c>
      <c r="D18" s="39">
        <f>IFERROR(VLOOKUP(A18,'Összesített eredmények'!A:AK,15,0),"-")</f>
        <v>8</v>
      </c>
      <c r="E18" s="39" t="str">
        <f>IFERROR(VLOOKUP(D18,'Összesített eredmények'!A:AL,21,0),"-")</f>
        <v>-</v>
      </c>
      <c r="F18" s="39" t="str">
        <f>IFERROR(VLOOKUP(E18,'Összesített eredmények'!A:AM,27,0),"-")</f>
        <v>-</v>
      </c>
      <c r="G18">
        <f t="shared" si="0"/>
        <v>19</v>
      </c>
      <c r="H18" t="s">
        <v>16</v>
      </c>
      <c r="I18" s="39">
        <f t="shared" si="1"/>
        <v>11</v>
      </c>
      <c r="J18" s="39">
        <f t="shared" si="2"/>
        <v>8</v>
      </c>
      <c r="K18" s="39" t="str">
        <f t="shared" si="3"/>
        <v>-</v>
      </c>
    </row>
    <row r="19" spans="1:11" x14ac:dyDescent="0.25">
      <c r="A19" t="s">
        <v>154</v>
      </c>
      <c r="B19" s="39" t="str">
        <f>IFERROR(VLOOKUP(A19,'Összesített eredmények'!A:AI,3,0),"-")</f>
        <v>-</v>
      </c>
      <c r="C19" s="39" t="str">
        <f>IFERROR(VLOOKUP(A19,'Összesített eredmények'!A:AJ,9,0),"-")</f>
        <v>-</v>
      </c>
      <c r="D19" s="39">
        <f>IFERROR(VLOOKUP(A19,'Összesített eredmények'!A:AK,15,0),"-")</f>
        <v>0</v>
      </c>
      <c r="E19" s="39" t="str">
        <f>IFERROR(VLOOKUP(D19,'Összesített eredmények'!A:AL,21,0),"-")</f>
        <v>-</v>
      </c>
      <c r="F19" s="39" t="str">
        <f>IFERROR(VLOOKUP(E19,'Összesített eredmények'!A:AM,27,0),"-")</f>
        <v>-</v>
      </c>
      <c r="G19">
        <f t="shared" si="0"/>
        <v>0</v>
      </c>
      <c r="H19" t="s">
        <v>154</v>
      </c>
      <c r="I19" s="39">
        <f t="shared" si="1"/>
        <v>0</v>
      </c>
      <c r="J19" s="39" t="str">
        <f t="shared" si="2"/>
        <v>-</v>
      </c>
      <c r="K19" s="39" t="str">
        <f t="shared" si="3"/>
        <v>-</v>
      </c>
    </row>
    <row r="20" spans="1:11" x14ac:dyDescent="0.25">
      <c r="A20" t="s">
        <v>17</v>
      </c>
      <c r="B20" s="39">
        <f>IFERROR(VLOOKUP(A20,'Összesített eredmények'!A:AI,3,0),"-")</f>
        <v>8</v>
      </c>
      <c r="C20" s="39" t="str">
        <f>IFERROR(VLOOKUP(A20,'Összesített eredmények'!A:AJ,9,0),"-")</f>
        <v>-</v>
      </c>
      <c r="D20" s="39">
        <f>IFERROR(VLOOKUP(A20,'Összesített eredmények'!A:AK,15,0),"-")</f>
        <v>12</v>
      </c>
      <c r="E20" s="39" t="str">
        <f>IFERROR(VLOOKUP(D20,'Összesített eredmények'!A:AL,21,0),"-")</f>
        <v>-</v>
      </c>
      <c r="F20" s="39" t="str">
        <f>IFERROR(VLOOKUP(E20,'Összesített eredmények'!A:AM,27,0),"-")</f>
        <v>-</v>
      </c>
      <c r="G20">
        <f t="shared" si="0"/>
        <v>20</v>
      </c>
      <c r="H20" t="s">
        <v>17</v>
      </c>
      <c r="I20" s="39">
        <f t="shared" si="1"/>
        <v>12</v>
      </c>
      <c r="J20" s="39">
        <f t="shared" si="2"/>
        <v>8</v>
      </c>
      <c r="K20" s="39" t="str">
        <f t="shared" si="3"/>
        <v>-</v>
      </c>
    </row>
    <row r="21" spans="1:11" x14ac:dyDescent="0.25">
      <c r="A21" t="s">
        <v>23</v>
      </c>
      <c r="B21" s="39">
        <f>IFERROR(VLOOKUP(A21,'Összesített eredmények'!A:AI,3,0),"-")</f>
        <v>0</v>
      </c>
      <c r="C21" s="39" t="str">
        <f>IFERROR(VLOOKUP(A21,'Összesített eredmények'!A:AJ,9,0),"-")</f>
        <v>-</v>
      </c>
      <c r="D21" s="39" t="str">
        <f>IFERROR(VLOOKUP(A21,'Összesített eredmények'!A:AK,15,0),"-")</f>
        <v>-</v>
      </c>
      <c r="E21" s="39" t="str">
        <f>IFERROR(VLOOKUP(D21,'Összesített eredmények'!A:AL,21,0),"-")</f>
        <v>-</v>
      </c>
      <c r="F21" s="39" t="str">
        <f>IFERROR(VLOOKUP(E21,'Összesített eredmények'!A:AM,27,0),"-")</f>
        <v>-</v>
      </c>
      <c r="G21">
        <f t="shared" si="0"/>
        <v>0</v>
      </c>
      <c r="H21" t="s">
        <v>23</v>
      </c>
      <c r="I21" s="39">
        <f t="shared" si="1"/>
        <v>0</v>
      </c>
      <c r="J21" s="39" t="str">
        <f t="shared" si="2"/>
        <v>-</v>
      </c>
      <c r="K21" s="39" t="str">
        <f t="shared" si="3"/>
        <v>-</v>
      </c>
    </row>
    <row r="22" spans="1:11" x14ac:dyDescent="0.25">
      <c r="A22" t="s">
        <v>29</v>
      </c>
      <c r="B22" s="39">
        <f>IFERROR(VLOOKUP(A22,'Összesített eredmények'!A:AI,3,0),"-")</f>
        <v>0</v>
      </c>
      <c r="C22" s="39" t="str">
        <f>IFERROR(VLOOKUP(A22,'Összesített eredmények'!A:AJ,9,0),"-")</f>
        <v>-</v>
      </c>
      <c r="D22" s="39">
        <f>IFERROR(VLOOKUP(A22,'Összesített eredmények'!A:AK,15,0),"-")</f>
        <v>4</v>
      </c>
      <c r="E22" s="39" t="str">
        <f>IFERROR(VLOOKUP(D22,'Összesített eredmények'!A:AL,21,0),"-")</f>
        <v>-</v>
      </c>
      <c r="F22" s="39" t="str">
        <f>IFERROR(VLOOKUP(E22,'Összesített eredmények'!A:AM,27,0),"-")</f>
        <v>-</v>
      </c>
      <c r="G22">
        <f t="shared" si="0"/>
        <v>4</v>
      </c>
      <c r="H22" t="s">
        <v>29</v>
      </c>
      <c r="I22" s="39">
        <f t="shared" si="1"/>
        <v>4</v>
      </c>
      <c r="J22" s="39">
        <f t="shared" si="2"/>
        <v>0</v>
      </c>
      <c r="K22" s="39" t="str">
        <f t="shared" si="3"/>
        <v>-</v>
      </c>
    </row>
    <row r="23" spans="1:11" x14ac:dyDescent="0.25">
      <c r="A23" t="s">
        <v>155</v>
      </c>
      <c r="B23" s="39" t="str">
        <f>IFERROR(VLOOKUP(A23,'Összesített eredmények'!A:AI,3,0),"-")</f>
        <v>-</v>
      </c>
      <c r="C23" s="39" t="str">
        <f>IFERROR(VLOOKUP(A23,'Összesített eredmények'!A:AJ,9,0),"-")</f>
        <v>-</v>
      </c>
      <c r="D23" s="39">
        <f>IFERROR(VLOOKUP(A23,'Összesített eredmények'!A:AK,15,0),"-")</f>
        <v>14</v>
      </c>
      <c r="E23" s="39" t="str">
        <f>IFERROR(VLOOKUP(D23,'Összesített eredmények'!A:AL,21,0),"-")</f>
        <v>-</v>
      </c>
      <c r="F23" s="39" t="str">
        <f>IFERROR(VLOOKUP(E23,'Összesített eredmények'!A:AM,27,0),"-")</f>
        <v>-</v>
      </c>
      <c r="G23">
        <f t="shared" si="0"/>
        <v>14</v>
      </c>
      <c r="H23" t="s">
        <v>155</v>
      </c>
      <c r="I23" s="39">
        <f t="shared" si="1"/>
        <v>14</v>
      </c>
      <c r="J23" s="39" t="str">
        <f t="shared" si="2"/>
        <v>-</v>
      </c>
      <c r="K23" s="39" t="str">
        <f t="shared" si="3"/>
        <v>-</v>
      </c>
    </row>
    <row r="24" spans="1:11" x14ac:dyDescent="0.25">
      <c r="A24" t="s">
        <v>15</v>
      </c>
      <c r="B24" s="39">
        <f>IFERROR(VLOOKUP(A24,'Összesített eredmények'!A:AI,3,0),"-")</f>
        <v>18</v>
      </c>
      <c r="C24" s="39" t="str">
        <f>IFERROR(VLOOKUP(A24,'Összesített eredmények'!A:AJ,9,0),"-")</f>
        <v>-</v>
      </c>
      <c r="D24" s="39">
        <f>IFERROR(VLOOKUP(A24,'Összesített eredmények'!A:AK,15,0),"-")</f>
        <v>15</v>
      </c>
      <c r="E24" s="39" t="str">
        <f>IFERROR(VLOOKUP(D24,'Összesített eredmények'!A:AL,21,0),"-")</f>
        <v>-</v>
      </c>
      <c r="F24" s="39" t="str">
        <f>IFERROR(VLOOKUP(E24,'Összesített eredmények'!A:AM,27,0),"-")</f>
        <v>-</v>
      </c>
      <c r="G24">
        <f t="shared" si="0"/>
        <v>33</v>
      </c>
      <c r="H24" t="s">
        <v>15</v>
      </c>
      <c r="I24" s="39">
        <f t="shared" si="1"/>
        <v>18</v>
      </c>
      <c r="J24" s="39">
        <f t="shared" si="2"/>
        <v>15</v>
      </c>
      <c r="K24" s="39" t="str">
        <f t="shared" si="3"/>
        <v>-</v>
      </c>
    </row>
    <row r="25" spans="1:11" x14ac:dyDescent="0.25">
      <c r="A25" t="s">
        <v>81</v>
      </c>
      <c r="B25" s="39" t="str">
        <f>IFERROR(VLOOKUP(A25,'Összesített eredmények'!A:AI,3,0),"-")</f>
        <v>-</v>
      </c>
      <c r="C25" s="39">
        <f>IFERROR(VLOOKUP(A25,'Összesített eredmények'!A:AJ,9,0),"-")</f>
        <v>28</v>
      </c>
      <c r="D25" s="39" t="str">
        <f>IFERROR(VLOOKUP(A25,'Összesített eredmények'!A:AK,15,0),"-")</f>
        <v>-</v>
      </c>
      <c r="E25" s="39" t="str">
        <f>IFERROR(VLOOKUP(D25,'Összesített eredmények'!A:AL,21,0),"-")</f>
        <v>-</v>
      </c>
      <c r="F25" s="39" t="str">
        <f>IFERROR(VLOOKUP(E25,'Összesített eredmények'!A:AM,27,0),"-")</f>
        <v>-</v>
      </c>
      <c r="G25">
        <f t="shared" si="0"/>
        <v>28</v>
      </c>
      <c r="H25" t="s">
        <v>81</v>
      </c>
      <c r="I25" s="39">
        <f t="shared" si="1"/>
        <v>28</v>
      </c>
      <c r="J25" s="39" t="str">
        <f t="shared" si="2"/>
        <v>-</v>
      </c>
      <c r="K25" s="39" t="str">
        <f t="shared" si="3"/>
        <v>-</v>
      </c>
    </row>
    <row r="26" spans="1:11" x14ac:dyDescent="0.25">
      <c r="A26" t="s">
        <v>100</v>
      </c>
      <c r="B26" s="39" t="str">
        <f>IFERROR(VLOOKUP(A26,'Összesített eredmények'!A:AI,3,0),"-")</f>
        <v>-</v>
      </c>
      <c r="C26" s="39">
        <f>IFERROR(VLOOKUP(A26,'Összesített eredmények'!A:AJ,9,0),"-")</f>
        <v>25</v>
      </c>
      <c r="D26" s="39">
        <f>IFERROR(VLOOKUP(A26,'Összesített eredmények'!A:AK,15,0),"-")</f>
        <v>16</v>
      </c>
      <c r="E26" s="39" t="str">
        <f>IFERROR(VLOOKUP(D26,'Összesített eredmények'!A:AL,21,0),"-")</f>
        <v>-</v>
      </c>
      <c r="F26" s="39" t="str">
        <f>IFERROR(VLOOKUP(E26,'Összesített eredmények'!A:AM,27,0),"-")</f>
        <v>-</v>
      </c>
      <c r="G26">
        <f t="shared" si="0"/>
        <v>41</v>
      </c>
      <c r="H26" t="s">
        <v>100</v>
      </c>
      <c r="I26" s="39">
        <f t="shared" si="1"/>
        <v>25</v>
      </c>
      <c r="J26" s="39">
        <f t="shared" si="2"/>
        <v>16</v>
      </c>
      <c r="K26" s="39" t="str">
        <f t="shared" si="3"/>
        <v>-</v>
      </c>
    </row>
    <row r="27" spans="1:11" x14ac:dyDescent="0.25">
      <c r="A27" t="s">
        <v>31</v>
      </c>
      <c r="B27" s="39">
        <f>IFERROR(VLOOKUP(A27,'Összesített eredmények'!A:AI,3,0),"-")</f>
        <v>0</v>
      </c>
      <c r="C27" s="39">
        <f>IFERROR(VLOOKUP(A27,'Összesített eredmények'!A:AJ,9,0),"-")</f>
        <v>25</v>
      </c>
      <c r="D27" s="39">
        <f>IFERROR(VLOOKUP(A27,'Összesített eredmények'!A:AK,15,0),"-")</f>
        <v>27</v>
      </c>
      <c r="E27" s="39" t="str">
        <f>IFERROR(VLOOKUP(D27,'Összesített eredmények'!A:AL,21,0),"-")</f>
        <v>-</v>
      </c>
      <c r="F27" s="39" t="str">
        <f>IFERROR(VLOOKUP(E27,'Összesített eredmények'!A:AM,27,0),"-")</f>
        <v>-</v>
      </c>
      <c r="G27">
        <f t="shared" si="0"/>
        <v>52</v>
      </c>
      <c r="H27" t="s">
        <v>31</v>
      </c>
      <c r="I27" s="39">
        <f t="shared" si="1"/>
        <v>27</v>
      </c>
      <c r="J27" s="39">
        <f t="shared" si="2"/>
        <v>25</v>
      </c>
      <c r="K27" s="39">
        <f t="shared" si="3"/>
        <v>0</v>
      </c>
    </row>
    <row r="28" spans="1:11" x14ac:dyDescent="0.25">
      <c r="A28" t="s">
        <v>8</v>
      </c>
      <c r="B28" s="39">
        <f>IFERROR(VLOOKUP(A28,'Összesített eredmények'!A:AI,3,0),"-")</f>
        <v>6</v>
      </c>
      <c r="C28" s="39" t="str">
        <f>IFERROR(VLOOKUP(A28,'Összesített eredmények'!A:AJ,9,0),"-")</f>
        <v>-</v>
      </c>
      <c r="D28" s="39">
        <f>IFERROR(VLOOKUP(A28,'Összesített eredmények'!A:AK,15,0),"-")</f>
        <v>14</v>
      </c>
      <c r="E28" s="39" t="str">
        <f>IFERROR(VLOOKUP(D28,'Összesített eredmények'!A:AL,21,0),"-")</f>
        <v>-</v>
      </c>
      <c r="F28" s="39" t="str">
        <f>IFERROR(VLOOKUP(E28,'Összesített eredmények'!A:AM,27,0),"-")</f>
        <v>-</v>
      </c>
      <c r="G28">
        <f t="shared" si="0"/>
        <v>20</v>
      </c>
      <c r="H28" t="s">
        <v>8</v>
      </c>
      <c r="I28" s="39">
        <f t="shared" si="1"/>
        <v>14</v>
      </c>
      <c r="J28" s="39">
        <f t="shared" si="2"/>
        <v>6</v>
      </c>
      <c r="K28" s="39" t="str">
        <f t="shared" si="3"/>
        <v>-</v>
      </c>
    </row>
    <row r="29" spans="1:11" x14ac:dyDescent="0.25">
      <c r="A29" t="s">
        <v>7</v>
      </c>
      <c r="B29" s="39">
        <f>IFERROR(VLOOKUP(A29,'Összesített eredmények'!A:AI,3,0),"-")</f>
        <v>26</v>
      </c>
      <c r="C29" s="39" t="str">
        <f>IFERROR(VLOOKUP(A29,'Összesített eredmények'!A:AJ,9,0),"-")</f>
        <v>-</v>
      </c>
      <c r="D29" s="39">
        <f>IFERROR(VLOOKUP(A29,'Összesített eredmények'!A:AK,15,0),"-")</f>
        <v>14</v>
      </c>
      <c r="E29" s="39" t="str">
        <f>IFERROR(VLOOKUP(D29,'Összesített eredmények'!A:AL,21,0),"-")</f>
        <v>-</v>
      </c>
      <c r="F29" s="39" t="str">
        <f>IFERROR(VLOOKUP(E29,'Összesített eredmények'!A:AM,27,0),"-")</f>
        <v>-</v>
      </c>
      <c r="G29">
        <f t="shared" si="0"/>
        <v>40</v>
      </c>
      <c r="H29" t="s">
        <v>7</v>
      </c>
      <c r="I29" s="39">
        <f t="shared" si="1"/>
        <v>26</v>
      </c>
      <c r="J29" s="39">
        <f t="shared" si="2"/>
        <v>14</v>
      </c>
      <c r="K29" s="39" t="str">
        <f t="shared" si="3"/>
        <v>-</v>
      </c>
    </row>
    <row r="30" spans="1:11" x14ac:dyDescent="0.25">
      <c r="A30" t="s">
        <v>156</v>
      </c>
      <c r="B30" s="39" t="str">
        <f>IFERROR(VLOOKUP(A30,'Összesített eredmények'!A:AI,3,0),"-")</f>
        <v>-</v>
      </c>
      <c r="C30" s="39" t="str">
        <f>IFERROR(VLOOKUP(A30,'Összesített eredmények'!A:AJ,9,0),"-")</f>
        <v>-</v>
      </c>
      <c r="D30" s="39">
        <f>IFERROR(VLOOKUP(A30,'Összesített eredmények'!A:AK,15,0),"-")</f>
        <v>13</v>
      </c>
      <c r="E30" s="39" t="str">
        <f>IFERROR(VLOOKUP(D30,'Összesített eredmények'!A:AL,21,0),"-")</f>
        <v>-</v>
      </c>
      <c r="F30" s="39" t="str">
        <f>IFERROR(VLOOKUP(E30,'Összesített eredmények'!A:AM,27,0),"-")</f>
        <v>-</v>
      </c>
      <c r="G30">
        <f t="shared" si="0"/>
        <v>13</v>
      </c>
      <c r="H30" t="s">
        <v>156</v>
      </c>
      <c r="I30" s="39">
        <f t="shared" si="1"/>
        <v>13</v>
      </c>
      <c r="J30" s="39" t="str">
        <f t="shared" si="2"/>
        <v>-</v>
      </c>
      <c r="K30" s="39" t="str">
        <f t="shared" si="3"/>
        <v>-</v>
      </c>
    </row>
    <row r="31" spans="1:11" x14ac:dyDescent="0.25">
      <c r="A31" t="s">
        <v>28</v>
      </c>
      <c r="B31" s="39">
        <f>IFERROR(VLOOKUP(A31,'Összesített eredmények'!A:AI,3,0),"-")</f>
        <v>15</v>
      </c>
      <c r="C31" s="39" t="str">
        <f>IFERROR(VLOOKUP(A31,'Összesített eredmények'!A:AJ,9,0),"-")</f>
        <v>-</v>
      </c>
      <c r="D31" s="39" t="str">
        <f>IFERROR(VLOOKUP(A31,'Összesített eredmények'!A:AK,15,0),"-")</f>
        <v>-</v>
      </c>
      <c r="E31" s="39" t="str">
        <f>IFERROR(VLOOKUP(D31,'Összesített eredmények'!A:AL,21,0),"-")</f>
        <v>-</v>
      </c>
      <c r="F31" s="39" t="str">
        <f>IFERROR(VLOOKUP(E31,'Összesített eredmények'!A:AM,27,0),"-")</f>
        <v>-</v>
      </c>
      <c r="G31">
        <f t="shared" si="0"/>
        <v>15</v>
      </c>
      <c r="H31" t="s">
        <v>28</v>
      </c>
      <c r="I31" s="39">
        <f t="shared" si="1"/>
        <v>15</v>
      </c>
      <c r="J31" s="39" t="str">
        <f t="shared" si="2"/>
        <v>-</v>
      </c>
      <c r="K31" s="39" t="str">
        <f t="shared" si="3"/>
        <v>-</v>
      </c>
    </row>
    <row r="32" spans="1:11" x14ac:dyDescent="0.25">
      <c r="A32" t="s">
        <v>102</v>
      </c>
      <c r="B32" s="39" t="str">
        <f>IFERROR(VLOOKUP(A32,'Összesített eredmények'!A:AI,3,0),"-")</f>
        <v>-</v>
      </c>
      <c r="C32" s="39">
        <f>IFERROR(VLOOKUP(A32,'Összesített eredmények'!A:AJ,9,0),"-")</f>
        <v>38</v>
      </c>
      <c r="D32" s="39">
        <f>IFERROR(VLOOKUP(A32,'Összesített eredmények'!A:AK,15,0),"-")</f>
        <v>32</v>
      </c>
      <c r="E32" s="39" t="str">
        <f>IFERROR(VLOOKUP(D32,'Összesített eredmények'!A:AL,21,0),"-")</f>
        <v>-</v>
      </c>
      <c r="F32" s="39" t="str">
        <f>IFERROR(VLOOKUP(E32,'Összesített eredmények'!A:AM,27,0),"-")</f>
        <v>-</v>
      </c>
      <c r="G32">
        <f t="shared" si="0"/>
        <v>70</v>
      </c>
      <c r="H32" t="s">
        <v>102</v>
      </c>
      <c r="I32" s="39">
        <f t="shared" si="1"/>
        <v>38</v>
      </c>
      <c r="J32" s="39">
        <f t="shared" si="2"/>
        <v>32</v>
      </c>
      <c r="K32" s="39" t="str">
        <f t="shared" si="3"/>
        <v>-</v>
      </c>
    </row>
    <row r="33" spans="1:11" x14ac:dyDescent="0.25">
      <c r="A33" t="s">
        <v>98</v>
      </c>
      <c r="B33" s="39" t="str">
        <f>IFERROR(VLOOKUP(A33,'Összesített eredmények'!A:AI,3,0),"-")</f>
        <v>-</v>
      </c>
      <c r="C33" s="39">
        <f>IFERROR(VLOOKUP(A33,'Összesített eredmények'!A:AJ,9,0),"-")</f>
        <v>15</v>
      </c>
      <c r="D33" s="39">
        <f>IFERROR(VLOOKUP(A33,'Összesített eredmények'!A:AK,15,0),"-")</f>
        <v>21</v>
      </c>
      <c r="E33" s="39" t="str">
        <f>IFERROR(VLOOKUP(D33,'Összesített eredmények'!A:AL,21,0),"-")</f>
        <v>-</v>
      </c>
      <c r="F33" s="39" t="str">
        <f>IFERROR(VLOOKUP(E33,'Összesített eredmények'!A:AM,27,0),"-")</f>
        <v>-</v>
      </c>
      <c r="G33">
        <f t="shared" si="0"/>
        <v>36</v>
      </c>
      <c r="H33" t="s">
        <v>98</v>
      </c>
      <c r="I33" s="39">
        <f t="shared" si="1"/>
        <v>21</v>
      </c>
      <c r="J33" s="39">
        <f t="shared" si="2"/>
        <v>15</v>
      </c>
      <c r="K33" s="39" t="str">
        <f t="shared" si="3"/>
        <v>-</v>
      </c>
    </row>
    <row r="34" spans="1:11" x14ac:dyDescent="0.25">
      <c r="A34" t="s">
        <v>76</v>
      </c>
      <c r="B34" s="39" t="str">
        <f>IFERROR(VLOOKUP(A34,'Összesített eredmények'!A:AI,3,0),"-")</f>
        <v>-</v>
      </c>
      <c r="C34" s="39">
        <f>IFERROR(VLOOKUP(A34,'Összesített eredmények'!A:AJ,9,0),"-")</f>
        <v>44</v>
      </c>
      <c r="D34" s="39" t="str">
        <f>IFERROR(VLOOKUP(A34,'Összesített eredmények'!A:AK,15,0),"-")</f>
        <v>-</v>
      </c>
      <c r="E34" s="39" t="str">
        <f>IFERROR(VLOOKUP(D34,'Összesített eredmények'!A:AL,21,0),"-")</f>
        <v>-</v>
      </c>
      <c r="F34" s="39" t="str">
        <f>IFERROR(VLOOKUP(E34,'Összesített eredmények'!A:AM,27,0),"-")</f>
        <v>-</v>
      </c>
      <c r="G34">
        <f t="shared" si="0"/>
        <v>44</v>
      </c>
      <c r="H34" t="s">
        <v>76</v>
      </c>
      <c r="I34" s="39">
        <f t="shared" si="1"/>
        <v>44</v>
      </c>
      <c r="J34" s="39" t="str">
        <f t="shared" si="2"/>
        <v>-</v>
      </c>
      <c r="K34" s="39" t="str">
        <f t="shared" si="3"/>
        <v>-</v>
      </c>
    </row>
    <row r="35" spans="1:11" x14ac:dyDescent="0.25">
      <c r="A35" t="s">
        <v>30</v>
      </c>
      <c r="B35" s="39">
        <f>IFERROR(VLOOKUP(A35,'Összesített eredmények'!A:AI,3,0),"-")</f>
        <v>23</v>
      </c>
      <c r="C35" s="39">
        <f>IFERROR(VLOOKUP(A35,'Összesített eredmények'!A:AJ,9,0),"-")</f>
        <v>42</v>
      </c>
      <c r="D35" s="39">
        <f>IFERROR(VLOOKUP(A35,'Összesített eredmények'!A:AK,15,0),"-")</f>
        <v>8</v>
      </c>
      <c r="E35" s="39" t="str">
        <f>IFERROR(VLOOKUP(D35,'Összesített eredmények'!A:AL,21,0),"-")</f>
        <v>-</v>
      </c>
      <c r="F35" s="39" t="str">
        <f>IFERROR(VLOOKUP(E35,'Összesített eredmények'!A:AM,27,0),"-")</f>
        <v>-</v>
      </c>
      <c r="G35">
        <f t="shared" si="0"/>
        <v>73</v>
      </c>
      <c r="H35" t="s">
        <v>30</v>
      </c>
      <c r="I35" s="39">
        <f t="shared" si="1"/>
        <v>42</v>
      </c>
      <c r="J35" s="39">
        <f t="shared" si="2"/>
        <v>23</v>
      </c>
      <c r="K35" s="39">
        <f t="shared" si="3"/>
        <v>8</v>
      </c>
    </row>
    <row r="36" spans="1:11" x14ac:dyDescent="0.25">
      <c r="A36" t="s">
        <v>103</v>
      </c>
      <c r="B36" s="39" t="str">
        <f>IFERROR(VLOOKUP(A36,'Összesített eredmények'!A:AI,3,0),"-")</f>
        <v>-</v>
      </c>
      <c r="C36" s="39">
        <f>IFERROR(VLOOKUP(A36,'Összesített eredmények'!A:AJ,9,0),"-")</f>
        <v>1</v>
      </c>
      <c r="D36" s="39" t="str">
        <f>IFERROR(VLOOKUP(A36,'Összesített eredmények'!A:AK,15,0),"-")</f>
        <v>-</v>
      </c>
      <c r="E36" s="39" t="str">
        <f>IFERROR(VLOOKUP(D36,'Összesített eredmények'!A:AL,21,0),"-")</f>
        <v>-</v>
      </c>
      <c r="F36" s="39" t="str">
        <f>IFERROR(VLOOKUP(E36,'Összesített eredmények'!A:AM,27,0),"-")</f>
        <v>-</v>
      </c>
      <c r="G36">
        <f t="shared" si="0"/>
        <v>1</v>
      </c>
      <c r="H36" t="s">
        <v>103</v>
      </c>
      <c r="I36" s="39">
        <f t="shared" si="1"/>
        <v>1</v>
      </c>
      <c r="J36" s="39" t="str">
        <f t="shared" si="2"/>
        <v>-</v>
      </c>
      <c r="K36" s="39" t="str">
        <f t="shared" si="3"/>
        <v>-</v>
      </c>
    </row>
    <row r="37" spans="1:11" x14ac:dyDescent="0.25">
      <c r="A37" t="s">
        <v>5</v>
      </c>
      <c r="B37" s="39">
        <f>IFERROR(VLOOKUP(A37,'Összesített eredmények'!A:AI,3,0),"-")</f>
        <v>5</v>
      </c>
      <c r="C37" s="39">
        <f>IFERROR(VLOOKUP(A37,'Összesített eredmények'!A:AJ,9,0),"-")</f>
        <v>27</v>
      </c>
      <c r="D37" s="39">
        <f>IFERROR(VLOOKUP(A37,'Összesített eredmények'!A:AK,15,0),"-")</f>
        <v>1</v>
      </c>
      <c r="E37" s="39" t="str">
        <f>IFERROR(VLOOKUP(D37,'Összesített eredmények'!A:AL,21,0),"-")</f>
        <v>-</v>
      </c>
      <c r="F37" s="39" t="str">
        <f>IFERROR(VLOOKUP(E37,'Összesített eredmények'!A:AM,27,0),"-")</f>
        <v>-</v>
      </c>
      <c r="G37">
        <f t="shared" si="0"/>
        <v>33</v>
      </c>
      <c r="H37" t="s">
        <v>5</v>
      </c>
      <c r="I37" s="39">
        <f t="shared" si="1"/>
        <v>27</v>
      </c>
      <c r="J37" s="39">
        <f t="shared" si="2"/>
        <v>5</v>
      </c>
      <c r="K37" s="39">
        <f t="shared" si="3"/>
        <v>1</v>
      </c>
    </row>
    <row r="38" spans="1:11" x14ac:dyDescent="0.25">
      <c r="A38" t="s">
        <v>97</v>
      </c>
      <c r="B38" s="39" t="str">
        <f>IFERROR(VLOOKUP(A38,'Összesített eredmények'!A:AI,3,0),"-")</f>
        <v>-</v>
      </c>
      <c r="C38" s="39">
        <f>IFERROR(VLOOKUP(A38,'Összesített eredmények'!A:AJ,9,0),"-")</f>
        <v>15</v>
      </c>
      <c r="D38" s="39" t="str">
        <f>IFERROR(VLOOKUP(A38,'Összesített eredmények'!A:AK,15,0),"-")</f>
        <v>-</v>
      </c>
      <c r="E38" s="39" t="str">
        <f>IFERROR(VLOOKUP(D38,'Összesített eredmények'!A:AL,21,0),"-")</f>
        <v>-</v>
      </c>
      <c r="F38" s="39" t="str">
        <f>IFERROR(VLOOKUP(E38,'Összesített eredmények'!A:AM,27,0),"-")</f>
        <v>-</v>
      </c>
      <c r="G38">
        <f t="shared" si="0"/>
        <v>15</v>
      </c>
      <c r="H38" t="s">
        <v>97</v>
      </c>
      <c r="I38" s="39">
        <f t="shared" si="1"/>
        <v>15</v>
      </c>
      <c r="J38" s="39" t="str">
        <f t="shared" si="2"/>
        <v>-</v>
      </c>
      <c r="K38" s="39" t="str">
        <f t="shared" si="3"/>
        <v>-</v>
      </c>
    </row>
    <row r="39" spans="1:11" x14ac:dyDescent="0.25">
      <c r="A39" t="s">
        <v>6</v>
      </c>
      <c r="B39" s="39">
        <f>IFERROR(VLOOKUP(A39,'Összesített eredmények'!A:AI,3,0),"-")</f>
        <v>1</v>
      </c>
      <c r="C39" s="39">
        <f>IFERROR(VLOOKUP(A39,'Összesített eredmények'!A:AJ,9,0),"-")</f>
        <v>12</v>
      </c>
      <c r="D39" s="39" t="str">
        <f>IFERROR(VLOOKUP(A39,'Összesített eredmények'!A:AK,15,0),"-")</f>
        <v>-</v>
      </c>
      <c r="E39" s="39" t="str">
        <f>IFERROR(VLOOKUP(D39,'Összesített eredmények'!A:AL,21,0),"-")</f>
        <v>-</v>
      </c>
      <c r="F39" s="39" t="str">
        <f>IFERROR(VLOOKUP(E39,'Összesített eredmények'!A:AM,27,0),"-")</f>
        <v>-</v>
      </c>
      <c r="G39">
        <f t="shared" si="0"/>
        <v>13</v>
      </c>
      <c r="H39" t="s">
        <v>6</v>
      </c>
      <c r="I39" s="39">
        <f t="shared" si="1"/>
        <v>12</v>
      </c>
      <c r="J39" s="39">
        <f t="shared" si="2"/>
        <v>1</v>
      </c>
      <c r="K39" s="39" t="str">
        <f t="shared" si="3"/>
        <v>-</v>
      </c>
    </row>
    <row r="40" spans="1:11" x14ac:dyDescent="0.25">
      <c r="A40" t="s">
        <v>75</v>
      </c>
      <c r="B40" s="39" t="str">
        <f>IFERROR(VLOOKUP(A40,'Összesített eredmények'!A:AI,3,0),"-")</f>
        <v>-</v>
      </c>
      <c r="C40" s="39">
        <f>IFERROR(VLOOKUP(A40,'Összesített eredmények'!A:AJ,9,0),"-")</f>
        <v>13</v>
      </c>
      <c r="D40" s="39">
        <f>IFERROR(VLOOKUP(A40,'Összesített eredmények'!A:AK,15,0),"-")</f>
        <v>6</v>
      </c>
      <c r="E40" s="39" t="str">
        <f>IFERROR(VLOOKUP(D40,'Összesített eredmények'!A:AL,21,0),"-")</f>
        <v>-</v>
      </c>
      <c r="F40" s="39" t="str">
        <f>IFERROR(VLOOKUP(E40,'Összesített eredmények'!A:AM,27,0),"-")</f>
        <v>-</v>
      </c>
      <c r="G40">
        <f t="shared" si="0"/>
        <v>19</v>
      </c>
      <c r="H40" t="s">
        <v>75</v>
      </c>
      <c r="I40" s="39">
        <f t="shared" si="1"/>
        <v>13</v>
      </c>
      <c r="J40" s="39">
        <f t="shared" si="2"/>
        <v>6</v>
      </c>
      <c r="K40" s="39" t="str">
        <f t="shared" si="3"/>
        <v>-</v>
      </c>
    </row>
    <row r="41" spans="1:11" x14ac:dyDescent="0.25">
      <c r="A41" t="s">
        <v>157</v>
      </c>
      <c r="B41" s="39" t="str">
        <f>IFERROR(VLOOKUP(A41,'Összesített eredmények'!A:AI,3,0),"-")</f>
        <v>-</v>
      </c>
      <c r="C41" s="39" t="str">
        <f>IFERROR(VLOOKUP(A41,'Összesített eredmények'!A:AJ,9,0),"-")</f>
        <v>-</v>
      </c>
      <c r="D41" s="39">
        <f>IFERROR(VLOOKUP(A41,'Összesített eredmények'!A:AK,15,0),"-")</f>
        <v>6</v>
      </c>
      <c r="E41" s="39" t="str">
        <f>IFERROR(VLOOKUP(D41,'Összesített eredmények'!A:AL,21,0),"-")</f>
        <v>-</v>
      </c>
      <c r="F41" s="39" t="str">
        <f>IFERROR(VLOOKUP(E41,'Összesített eredmények'!A:AM,27,0),"-")</f>
        <v>-</v>
      </c>
      <c r="G41">
        <f t="shared" si="0"/>
        <v>6</v>
      </c>
      <c r="H41" t="s">
        <v>157</v>
      </c>
      <c r="I41" s="39">
        <f t="shared" si="1"/>
        <v>6</v>
      </c>
      <c r="J41" s="39" t="str">
        <f t="shared" si="2"/>
        <v>-</v>
      </c>
      <c r="K41" s="39" t="str">
        <f t="shared" si="3"/>
        <v>-</v>
      </c>
    </row>
    <row r="42" spans="1:11" x14ac:dyDescent="0.25">
      <c r="A42" t="s">
        <v>78</v>
      </c>
      <c r="B42" s="39" t="str">
        <f>IFERROR(VLOOKUP(A42,'Összesített eredmények'!A:AI,3,0),"-")</f>
        <v>-</v>
      </c>
      <c r="C42" s="39">
        <f>IFERROR(VLOOKUP(A42,'Összesített eredmények'!A:AJ,9,0),"-")</f>
        <v>5</v>
      </c>
      <c r="D42" s="39" t="str">
        <f>IFERROR(VLOOKUP(A42,'Összesített eredmények'!A:AK,15,0),"-")</f>
        <v>-</v>
      </c>
      <c r="E42" s="39" t="str">
        <f>IFERROR(VLOOKUP(D42,'Összesített eredmények'!A:AL,21,0),"-")</f>
        <v>-</v>
      </c>
      <c r="F42" s="39" t="str">
        <f>IFERROR(VLOOKUP(E42,'Összesített eredmények'!A:AM,27,0),"-")</f>
        <v>-</v>
      </c>
      <c r="G42">
        <f t="shared" si="0"/>
        <v>5</v>
      </c>
      <c r="H42" t="s">
        <v>78</v>
      </c>
      <c r="I42" s="39">
        <f t="shared" si="1"/>
        <v>5</v>
      </c>
      <c r="J42" s="39" t="str">
        <f t="shared" si="2"/>
        <v>-</v>
      </c>
      <c r="K42" s="39" t="str">
        <f t="shared" si="3"/>
        <v>-</v>
      </c>
    </row>
    <row r="43" spans="1:11" x14ac:dyDescent="0.25">
      <c r="A43" t="s">
        <v>86</v>
      </c>
      <c r="B43" s="39">
        <f>IFERROR(VLOOKUP(A43,'Összesített eredmények'!A:AI,3,0),"-")</f>
        <v>21</v>
      </c>
      <c r="C43" s="39" t="str">
        <f>IFERROR(VLOOKUP(A43,'Összesített eredmények'!A:AJ,9,0),"-")</f>
        <v>-</v>
      </c>
      <c r="D43" s="39">
        <f>IFERROR(VLOOKUP(A43,'Összesített eredmények'!A:AK,15,0),"-")</f>
        <v>14</v>
      </c>
      <c r="E43" s="39" t="str">
        <f>IFERROR(VLOOKUP(D43,'Összesített eredmények'!A:AL,21,0),"-")</f>
        <v>-</v>
      </c>
      <c r="F43" s="39" t="str">
        <f>IFERROR(VLOOKUP(E43,'Összesített eredmények'!A:AM,27,0),"-")</f>
        <v>-</v>
      </c>
      <c r="G43">
        <f t="shared" si="0"/>
        <v>35</v>
      </c>
      <c r="H43" t="s">
        <v>86</v>
      </c>
      <c r="I43" s="39">
        <f t="shared" si="1"/>
        <v>21</v>
      </c>
      <c r="J43" s="39">
        <f t="shared" si="2"/>
        <v>14</v>
      </c>
      <c r="K43" s="39" t="str">
        <f t="shared" si="3"/>
        <v>-</v>
      </c>
    </row>
    <row r="44" spans="1:11" x14ac:dyDescent="0.25">
      <c r="A44">
        <f>'Összesített eredmények'!A49</f>
        <v>0</v>
      </c>
      <c r="B44" s="39" t="str">
        <f>IFERROR(VLOOKUP(A44,'Összesített eredmények'!A:AI,3,0),"-")</f>
        <v>-</v>
      </c>
      <c r="C44" s="39" t="str">
        <f>IFERROR(VLOOKUP(A44,'Összesített eredmények'!A:AJ,9,0),"-")</f>
        <v>-</v>
      </c>
      <c r="D44" s="39" t="str">
        <f>IFERROR(VLOOKUP(A44,'Összesített eredmények'!A:AK,15,0),"-")</f>
        <v>-</v>
      </c>
      <c r="E44" s="39" t="str">
        <f>IFERROR(VLOOKUP(D44,'Összesített eredmények'!A:AL,21,0),"-")</f>
        <v>-</v>
      </c>
      <c r="F44" s="39" t="str">
        <f>IFERROR(VLOOKUP(E44,'Összesített eredmények'!A:AM,27,0),"-")</f>
        <v>-</v>
      </c>
      <c r="G44">
        <f t="shared" si="0"/>
        <v>0</v>
      </c>
      <c r="H44">
        <v>0</v>
      </c>
      <c r="I44" s="39" t="str">
        <f t="shared" si="1"/>
        <v>-</v>
      </c>
      <c r="J44" s="39" t="str">
        <f t="shared" si="2"/>
        <v>-</v>
      </c>
      <c r="K44" s="39" t="str">
        <f t="shared" si="3"/>
        <v>-</v>
      </c>
    </row>
    <row r="45" spans="1:11" x14ac:dyDescent="0.25">
      <c r="A45">
        <f>'Összesített eredmények'!A50</f>
        <v>0</v>
      </c>
      <c r="B45" s="39" t="str">
        <f>IFERROR(VLOOKUP(A45,'Összesített eredmények'!A:AI,3,0),"-")</f>
        <v>-</v>
      </c>
      <c r="C45" s="39" t="str">
        <f>IFERROR(VLOOKUP(A45,'Összesített eredmények'!A:AJ,9,0),"-")</f>
        <v>-</v>
      </c>
      <c r="D45" s="39" t="str">
        <f>IFERROR(VLOOKUP(A45,'Összesített eredmények'!A:AK,15,0),"-")</f>
        <v>-</v>
      </c>
      <c r="E45" s="39" t="str">
        <f>IFERROR(VLOOKUP(D45,'Összesített eredmények'!A:AL,21,0),"-")</f>
        <v>-</v>
      </c>
      <c r="F45" s="39" t="str">
        <f>IFERROR(VLOOKUP(E45,'Összesített eredmények'!A:AM,27,0),"-")</f>
        <v>-</v>
      </c>
      <c r="G45">
        <f t="shared" si="0"/>
        <v>0</v>
      </c>
      <c r="H45">
        <v>0</v>
      </c>
      <c r="I45" s="39" t="str">
        <f t="shared" si="1"/>
        <v>-</v>
      </c>
      <c r="J45" s="39" t="str">
        <f t="shared" si="2"/>
        <v>-</v>
      </c>
      <c r="K45" s="39" t="str">
        <f t="shared" si="3"/>
        <v>-</v>
      </c>
    </row>
    <row r="46" spans="1:11" x14ac:dyDescent="0.25">
      <c r="A46">
        <f>'Összesített eredmények'!A51</f>
        <v>0</v>
      </c>
      <c r="B46" s="39" t="str">
        <f>IFERROR(VLOOKUP(A46,'Összesített eredmények'!A:AI,3,0),"-")</f>
        <v>-</v>
      </c>
      <c r="C46" s="39" t="str">
        <f>IFERROR(VLOOKUP(A46,'Összesített eredmények'!A:AJ,9,0),"-")</f>
        <v>-</v>
      </c>
      <c r="D46" s="39" t="str">
        <f>IFERROR(VLOOKUP(A46,'Összesített eredmények'!A:AK,15,0),"-")</f>
        <v>-</v>
      </c>
      <c r="E46" s="39" t="str">
        <f>IFERROR(VLOOKUP(D46,'Összesített eredmények'!A:AL,21,0),"-")</f>
        <v>-</v>
      </c>
      <c r="F46" s="39" t="str">
        <f>IFERROR(VLOOKUP(E46,'Összesített eredmények'!A:AM,27,0),"-")</f>
        <v>-</v>
      </c>
      <c r="G46">
        <f t="shared" si="0"/>
        <v>0</v>
      </c>
      <c r="H46">
        <v>0</v>
      </c>
      <c r="I46" s="39" t="str">
        <f t="shared" si="1"/>
        <v>-</v>
      </c>
      <c r="J46" s="39" t="str">
        <f t="shared" si="2"/>
        <v>-</v>
      </c>
      <c r="K46" s="39" t="str">
        <f t="shared" si="3"/>
        <v>-</v>
      </c>
    </row>
  </sheetData>
  <conditionalFormatting sqref="G1:G1048576">
    <cfRule type="top10" dxfId="1" priority="1" rank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65805-D5B9-427A-9F59-9C77767E44CA}">
  <dimension ref="A1:C5"/>
  <sheetViews>
    <sheetView workbookViewId="0">
      <selection activeCell="D13" sqref="D13"/>
    </sheetView>
  </sheetViews>
  <sheetFormatPr defaultRowHeight="15" x14ac:dyDescent="0.25"/>
  <cols>
    <col min="1" max="1" width="16.5703125" bestFit="1" customWidth="1"/>
    <col min="2" max="2" width="8" bestFit="1" customWidth="1"/>
    <col min="3" max="3" width="8.140625" style="2" bestFit="1" customWidth="1"/>
  </cols>
  <sheetData>
    <row r="1" spans="1:3" x14ac:dyDescent="0.25">
      <c r="A1" t="s">
        <v>9</v>
      </c>
      <c r="B1" t="s">
        <v>148</v>
      </c>
      <c r="C1" s="2" t="s">
        <v>10</v>
      </c>
    </row>
    <row r="2" spans="1:3" x14ac:dyDescent="0.25">
      <c r="A2" t="s">
        <v>102</v>
      </c>
      <c r="B2" s="37">
        <v>46180</v>
      </c>
      <c r="C2" s="2">
        <v>11.85</v>
      </c>
    </row>
    <row r="3" spans="1:3" x14ac:dyDescent="0.25">
      <c r="A3" t="s">
        <v>31</v>
      </c>
      <c r="B3" s="37">
        <v>46151</v>
      </c>
      <c r="C3" s="2">
        <v>9.74</v>
      </c>
    </row>
    <row r="4" spans="1:3" x14ac:dyDescent="0.25">
      <c r="A4" t="s">
        <v>98</v>
      </c>
      <c r="B4" s="37">
        <v>46110</v>
      </c>
      <c r="C4" s="2">
        <v>9.0399999999999991</v>
      </c>
    </row>
    <row r="5" spans="1:3" x14ac:dyDescent="0.25">
      <c r="A5" t="s">
        <v>86</v>
      </c>
      <c r="B5" s="37">
        <v>46110</v>
      </c>
      <c r="C5" s="2">
        <v>8.74</v>
      </c>
    </row>
  </sheetData>
  <sortState ref="A2:C14">
    <sortCondition descending="1" ref="C2:C14"/>
  </sortState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EA30-AB1D-4430-990A-81E6A73CB604}">
  <dimension ref="A1:L44"/>
  <sheetViews>
    <sheetView workbookViewId="0">
      <selection activeCell="J3" sqref="J3"/>
    </sheetView>
  </sheetViews>
  <sheetFormatPr defaultRowHeight="15" x14ac:dyDescent="0.25"/>
  <cols>
    <col min="1" max="1" width="16.7109375" customWidth="1"/>
    <col min="2" max="2" width="10.85546875" style="1" bestFit="1" customWidth="1"/>
    <col min="3" max="4" width="10.28515625" style="1" bestFit="1" customWidth="1"/>
    <col min="5" max="5" width="11.7109375" style="1" bestFit="1" customWidth="1"/>
    <col min="6" max="6" width="14.7109375" style="1" bestFit="1" customWidth="1"/>
    <col min="10" max="10" width="10.85546875" bestFit="1" customWidth="1"/>
  </cols>
  <sheetData>
    <row r="1" spans="1:12" x14ac:dyDescent="0.25">
      <c r="B1" s="52" t="s">
        <v>129</v>
      </c>
      <c r="C1" s="52"/>
      <c r="D1" s="52"/>
      <c r="E1" s="52"/>
      <c r="F1" s="52"/>
      <c r="G1" s="52" t="s">
        <v>130</v>
      </c>
      <c r="H1" s="52"/>
      <c r="I1" s="52"/>
      <c r="L1" t="s">
        <v>132</v>
      </c>
    </row>
    <row r="2" spans="1:12" x14ac:dyDescent="0.25">
      <c r="A2" t="s">
        <v>135</v>
      </c>
      <c r="B2" s="35">
        <v>46110</v>
      </c>
      <c r="C2" s="35">
        <v>46151</v>
      </c>
      <c r="D2" s="35">
        <v>46180</v>
      </c>
      <c r="E2" s="35">
        <v>46243</v>
      </c>
      <c r="F2" s="35">
        <v>46285</v>
      </c>
      <c r="G2">
        <v>1</v>
      </c>
      <c r="H2">
        <v>2</v>
      </c>
      <c r="I2">
        <v>3</v>
      </c>
      <c r="J2" t="s">
        <v>131</v>
      </c>
      <c r="L2" t="s">
        <v>133</v>
      </c>
    </row>
    <row r="3" spans="1:12" x14ac:dyDescent="0.25">
      <c r="A3" t="s">
        <v>27</v>
      </c>
      <c r="B3" s="1">
        <f>VLOOKUP(A3,'Összesített eredmények'!A:AI,7,0)</f>
        <v>13</v>
      </c>
      <c r="C3" s="1">
        <f>VLOOKUP(A3,'Összesített eredmények'!A:AI,13,0)</f>
        <v>25</v>
      </c>
      <c r="D3" s="1">
        <f>VLOOKUP(A3,'Összesített eredmények'!A:AI,19,0)</f>
        <v>24</v>
      </c>
      <c r="E3" s="1">
        <f>VLOOKUP(A3,'Összesített eredmények'!A:AJ,25,0)</f>
        <v>25</v>
      </c>
      <c r="F3" s="1">
        <f>VLOOKUP(A3,'Összesített eredmények'!A:AI,31,0)</f>
        <v>25</v>
      </c>
      <c r="G3">
        <f>IF(SMALL(B3:F3,1)&lt;1,25,SMALL(B3:F3,1))</f>
        <v>13</v>
      </c>
      <c r="H3">
        <f>IF(SMALL(B3:F3,2)&lt;1,25,SMALL(B3:F3,2))</f>
        <v>24</v>
      </c>
      <c r="I3">
        <f>IF(SMALL(B3:F3,3)&lt;1,25,SMALL(B3:F3,3))</f>
        <v>25</v>
      </c>
      <c r="J3">
        <f>SUM(G3:I3)</f>
        <v>62</v>
      </c>
      <c r="L3" t="s">
        <v>134</v>
      </c>
    </row>
    <row r="4" spans="1:12" x14ac:dyDescent="0.25">
      <c r="A4" t="s">
        <v>82</v>
      </c>
      <c r="B4" s="39">
        <f>VLOOKUP(A4,'Összesített eredmények'!A:AI,7,0)</f>
        <v>25</v>
      </c>
      <c r="C4" s="39">
        <f>VLOOKUP(A4,'Összesített eredmények'!A:AI,13,0)</f>
        <v>13</v>
      </c>
      <c r="D4" s="39">
        <f>VLOOKUP(A4,'Összesített eredmények'!A:AI,19,0)</f>
        <v>20</v>
      </c>
      <c r="E4" s="39">
        <f>VLOOKUP(A4,'Összesített eredmények'!A:AJ,25,0)</f>
        <v>25</v>
      </c>
      <c r="F4" s="39">
        <f>VLOOKUP(A4,'Összesített eredmények'!A:AI,31,0)</f>
        <v>25</v>
      </c>
      <c r="G4">
        <f t="shared" ref="G4:G44" si="0">IF(SMALL(B4:F4,1)&lt;1,20,SMALL(B4:F4,1))</f>
        <v>13</v>
      </c>
      <c r="H4">
        <f t="shared" ref="H4:H44" si="1">IF(SMALL(B4:F4,2)&lt;1,20,SMALL(B4:F4,2))</f>
        <v>20</v>
      </c>
      <c r="I4">
        <f t="shared" ref="I4:I44" si="2">IF(SMALL(B4:F4,3)&lt;1,20,SMALL(B4:F4,3))</f>
        <v>25</v>
      </c>
      <c r="J4">
        <f t="shared" ref="J4:J44" si="3">SUM(G4:I4)</f>
        <v>58</v>
      </c>
    </row>
    <row r="5" spans="1:12" x14ac:dyDescent="0.25">
      <c r="A5" t="s">
        <v>26</v>
      </c>
      <c r="B5" s="39">
        <f>VLOOKUP(A5,'Összesített eredmények'!A:AI,7,0)</f>
        <v>10</v>
      </c>
      <c r="C5" s="39">
        <f>VLOOKUP(A5,'Összesített eredmények'!A:AI,13,0)</f>
        <v>5</v>
      </c>
      <c r="D5" s="39">
        <f>VLOOKUP(A5,'Összesített eredmények'!A:AI,19,0)</f>
        <v>17</v>
      </c>
      <c r="E5" s="39">
        <f>VLOOKUP(A5,'Összesített eredmények'!A:AJ,25,0)</f>
        <v>25</v>
      </c>
      <c r="F5" s="39">
        <f>VLOOKUP(A5,'Összesített eredmények'!A:AI,31,0)</f>
        <v>25</v>
      </c>
      <c r="G5">
        <f t="shared" si="0"/>
        <v>5</v>
      </c>
      <c r="H5">
        <f t="shared" si="1"/>
        <v>10</v>
      </c>
      <c r="I5">
        <f t="shared" si="2"/>
        <v>17</v>
      </c>
      <c r="J5">
        <f t="shared" si="3"/>
        <v>32</v>
      </c>
    </row>
    <row r="6" spans="1:12" x14ac:dyDescent="0.25">
      <c r="A6" t="s">
        <v>80</v>
      </c>
      <c r="B6" s="39">
        <f>VLOOKUP(A6,'Összesített eredmények'!A:AI,7,0)</f>
        <v>25</v>
      </c>
      <c r="C6" s="39">
        <f>VLOOKUP(A6,'Összesített eredmények'!A:AI,13,0)</f>
        <v>7</v>
      </c>
      <c r="D6" s="39">
        <f>VLOOKUP(A6,'Összesített eredmények'!A:AI,19,0)</f>
        <v>25</v>
      </c>
      <c r="E6" s="39">
        <f>VLOOKUP(A6,'Összesített eredmények'!A:AJ,25,0)</f>
        <v>25</v>
      </c>
      <c r="F6" s="39">
        <f>VLOOKUP(A6,'Összesített eredmények'!A:AI,31,0)</f>
        <v>25</v>
      </c>
      <c r="G6">
        <f t="shared" si="0"/>
        <v>7</v>
      </c>
      <c r="H6">
        <f t="shared" si="1"/>
        <v>25</v>
      </c>
      <c r="I6">
        <f t="shared" si="2"/>
        <v>25</v>
      </c>
      <c r="J6">
        <f t="shared" si="3"/>
        <v>57</v>
      </c>
    </row>
    <row r="7" spans="1:12" x14ac:dyDescent="0.25">
      <c r="A7" t="s">
        <v>25</v>
      </c>
      <c r="B7" s="39">
        <f>VLOOKUP(A7,'Összesített eredmények'!A:AI,7,0)</f>
        <v>3</v>
      </c>
      <c r="C7" s="39">
        <f>VLOOKUP(A7,'Összesített eredmények'!A:AI,13,0)</f>
        <v>4</v>
      </c>
      <c r="D7" s="39">
        <f>VLOOKUP(A7,'Összesített eredmények'!A:AI,19,0)</f>
        <v>14</v>
      </c>
      <c r="E7" s="39">
        <f>VLOOKUP(A7,'Összesített eredmények'!A:AJ,25,0)</f>
        <v>25</v>
      </c>
      <c r="F7" s="39">
        <f>VLOOKUP(A7,'Összesített eredmények'!A:AI,31,0)</f>
        <v>25</v>
      </c>
      <c r="G7">
        <f t="shared" si="0"/>
        <v>3</v>
      </c>
      <c r="H7">
        <f t="shared" si="1"/>
        <v>4</v>
      </c>
      <c r="I7">
        <f t="shared" si="2"/>
        <v>14</v>
      </c>
      <c r="J7">
        <f t="shared" si="3"/>
        <v>21</v>
      </c>
    </row>
    <row r="8" spans="1:12" x14ac:dyDescent="0.25">
      <c r="A8" t="s">
        <v>79</v>
      </c>
      <c r="B8" s="39">
        <f>VLOOKUP(A8,'Összesített eredmények'!A:AI,7,0)</f>
        <v>25</v>
      </c>
      <c r="C8" s="39">
        <f>VLOOKUP(A8,'Összesített eredmények'!A:AI,13,0)</f>
        <v>7</v>
      </c>
      <c r="D8" s="39">
        <f>VLOOKUP(A8,'Összesített eredmények'!A:AI,19,0)</f>
        <v>25</v>
      </c>
      <c r="E8" s="39">
        <f>VLOOKUP(A8,'Összesített eredmények'!A:AJ,25,0)</f>
        <v>25</v>
      </c>
      <c r="F8" s="39">
        <f>VLOOKUP(A8,'Összesített eredmények'!A:AI,31,0)</f>
        <v>25</v>
      </c>
      <c r="G8">
        <f t="shared" si="0"/>
        <v>7</v>
      </c>
      <c r="H8">
        <f t="shared" si="1"/>
        <v>25</v>
      </c>
      <c r="I8">
        <f t="shared" si="2"/>
        <v>25</v>
      </c>
      <c r="J8">
        <f t="shared" si="3"/>
        <v>57</v>
      </c>
    </row>
    <row r="9" spans="1:12" x14ac:dyDescent="0.25">
      <c r="A9" t="s">
        <v>101</v>
      </c>
      <c r="B9" s="39">
        <f>VLOOKUP(A9,'Összesített eredmények'!A:AI,7,0)</f>
        <v>25</v>
      </c>
      <c r="C9" s="39">
        <f>VLOOKUP(A9,'Összesített eredmények'!A:AI,13,0)</f>
        <v>3</v>
      </c>
      <c r="D9" s="39">
        <f>VLOOKUP(A9,'Összesített eredmények'!A:AI,19,0)</f>
        <v>13</v>
      </c>
      <c r="E9" s="39">
        <f>VLOOKUP(A9,'Összesített eredmények'!A:AJ,25,0)</f>
        <v>25</v>
      </c>
      <c r="F9" s="39">
        <f>VLOOKUP(A9,'Összesített eredmények'!A:AI,31,0)</f>
        <v>25</v>
      </c>
      <c r="G9">
        <f t="shared" si="0"/>
        <v>3</v>
      </c>
      <c r="H9">
        <f t="shared" si="1"/>
        <v>13</v>
      </c>
      <c r="I9">
        <f t="shared" si="2"/>
        <v>25</v>
      </c>
      <c r="J9">
        <f t="shared" si="3"/>
        <v>41</v>
      </c>
    </row>
    <row r="10" spans="1:12" x14ac:dyDescent="0.25">
      <c r="A10" t="s">
        <v>153</v>
      </c>
      <c r="B10" s="39">
        <f>VLOOKUP(A10,'Összesített eredmények'!A:AI,7,0)</f>
        <v>25</v>
      </c>
      <c r="C10" s="39">
        <f>VLOOKUP(A10,'Összesített eredmények'!A:AI,13,0)</f>
        <v>25</v>
      </c>
      <c r="D10" s="39">
        <f>VLOOKUP(A10,'Összesített eredmények'!A:AI,19,0)</f>
        <v>16</v>
      </c>
      <c r="E10" s="39">
        <f>VLOOKUP(A10,'Összesített eredmények'!A:AJ,25,0)</f>
        <v>25</v>
      </c>
      <c r="F10" s="39">
        <f>VLOOKUP(A10,'Összesített eredmények'!A:AI,31,0)</f>
        <v>25</v>
      </c>
      <c r="G10">
        <f t="shared" si="0"/>
        <v>16</v>
      </c>
      <c r="H10">
        <f t="shared" si="1"/>
        <v>25</v>
      </c>
      <c r="I10">
        <f t="shared" si="2"/>
        <v>25</v>
      </c>
      <c r="J10">
        <f t="shared" si="3"/>
        <v>66</v>
      </c>
    </row>
    <row r="11" spans="1:12" x14ac:dyDescent="0.25">
      <c r="A11" t="s">
        <v>99</v>
      </c>
      <c r="B11" s="39">
        <f>VLOOKUP(A11,'Összesített eredmények'!A:AI,7,0)</f>
        <v>25</v>
      </c>
      <c r="C11" s="39">
        <f>VLOOKUP(A11,'Összesített eredmények'!A:AI,13,0)</f>
        <v>2</v>
      </c>
      <c r="D11" s="39">
        <f>VLOOKUP(A11,'Összesített eredmények'!A:AI,19,0)</f>
        <v>12</v>
      </c>
      <c r="E11" s="39">
        <f>VLOOKUP(A11,'Összesített eredmények'!A:AJ,25,0)</f>
        <v>25</v>
      </c>
      <c r="F11" s="39">
        <f>VLOOKUP(A11,'Összesített eredmények'!A:AI,31,0)</f>
        <v>25</v>
      </c>
      <c r="G11">
        <f t="shared" si="0"/>
        <v>2</v>
      </c>
      <c r="H11">
        <f t="shared" si="1"/>
        <v>12</v>
      </c>
      <c r="I11">
        <f t="shared" si="2"/>
        <v>25</v>
      </c>
      <c r="J11">
        <f t="shared" si="3"/>
        <v>39</v>
      </c>
    </row>
    <row r="12" spans="1:12" x14ac:dyDescent="0.25">
      <c r="A12" t="s">
        <v>95</v>
      </c>
      <c r="B12" s="39">
        <f>VLOOKUP(A12,'Összesített eredmények'!A:AI,7,0)</f>
        <v>6</v>
      </c>
      <c r="C12" s="39">
        <f>VLOOKUP(A12,'Összesített eredmények'!A:AI,13,0)</f>
        <v>6</v>
      </c>
      <c r="D12" s="39">
        <f>VLOOKUP(A12,'Összesített eredmények'!A:AI,19,0)</f>
        <v>25</v>
      </c>
      <c r="E12" s="39">
        <f>VLOOKUP(A12,'Összesített eredmények'!A:AJ,25,0)</f>
        <v>25</v>
      </c>
      <c r="F12" s="39">
        <f>VLOOKUP(A12,'Összesített eredmények'!A:AI,31,0)</f>
        <v>25</v>
      </c>
      <c r="G12">
        <f t="shared" si="0"/>
        <v>6</v>
      </c>
      <c r="H12">
        <f t="shared" si="1"/>
        <v>6</v>
      </c>
      <c r="I12">
        <f t="shared" si="2"/>
        <v>25</v>
      </c>
      <c r="J12">
        <f t="shared" si="3"/>
        <v>37</v>
      </c>
    </row>
    <row r="13" spans="1:12" x14ac:dyDescent="0.25">
      <c r="A13" t="s">
        <v>24</v>
      </c>
      <c r="B13" s="39">
        <f>VLOOKUP(A13,'Összesített eredmények'!A:AI,7,0)</f>
        <v>15</v>
      </c>
      <c r="C13" s="39">
        <f>VLOOKUP(A13,'Összesített eredmények'!A:AI,13,0)</f>
        <v>25</v>
      </c>
      <c r="D13" s="39">
        <f>VLOOKUP(A13,'Összesített eredmények'!A:AI,19,0)</f>
        <v>25</v>
      </c>
      <c r="E13" s="39">
        <f>VLOOKUP(A13,'Összesített eredmények'!A:AJ,25,0)</f>
        <v>25</v>
      </c>
      <c r="F13" s="39">
        <f>VLOOKUP(A13,'Összesített eredmények'!A:AI,31,0)</f>
        <v>25</v>
      </c>
      <c r="G13">
        <f t="shared" si="0"/>
        <v>15</v>
      </c>
      <c r="H13">
        <f t="shared" si="1"/>
        <v>25</v>
      </c>
      <c r="I13">
        <f t="shared" si="2"/>
        <v>25</v>
      </c>
      <c r="J13">
        <f t="shared" si="3"/>
        <v>65</v>
      </c>
    </row>
    <row r="14" spans="1:12" x14ac:dyDescent="0.25">
      <c r="A14" t="s">
        <v>77</v>
      </c>
      <c r="B14" s="39">
        <f>VLOOKUP(A14,'Összesített eredmények'!A:AI,7,0)</f>
        <v>25</v>
      </c>
      <c r="C14" s="39">
        <f>VLOOKUP(A14,'Összesített eredmények'!A:AI,13,0)</f>
        <v>11</v>
      </c>
      <c r="D14" s="39">
        <f>VLOOKUP(A14,'Összesített eredmények'!A:AI,19,0)</f>
        <v>25</v>
      </c>
      <c r="E14" s="39">
        <f>VLOOKUP(A14,'Összesített eredmények'!A:AJ,25,0)</f>
        <v>25</v>
      </c>
      <c r="F14" s="39">
        <f>VLOOKUP(A14,'Összesített eredmények'!A:AI,31,0)</f>
        <v>25</v>
      </c>
      <c r="G14">
        <f t="shared" si="0"/>
        <v>11</v>
      </c>
      <c r="H14">
        <f t="shared" si="1"/>
        <v>25</v>
      </c>
      <c r="I14">
        <f t="shared" si="2"/>
        <v>25</v>
      </c>
      <c r="J14">
        <f t="shared" si="3"/>
        <v>61</v>
      </c>
    </row>
    <row r="15" spans="1:12" x14ac:dyDescent="0.25">
      <c r="A15" t="s">
        <v>83</v>
      </c>
      <c r="B15" s="39">
        <f>VLOOKUP(A15,'Összesített eredmények'!A:AI,7,0)</f>
        <v>25</v>
      </c>
      <c r="C15" s="39">
        <f>VLOOKUP(A15,'Összesített eredmények'!A:AI,13,0)</f>
        <v>13</v>
      </c>
      <c r="D15" s="39">
        <f>VLOOKUP(A15,'Összesített eredmények'!A:AI,19,0)</f>
        <v>25</v>
      </c>
      <c r="E15" s="39">
        <f>VLOOKUP(A15,'Összesített eredmények'!A:AJ,25,0)</f>
        <v>25</v>
      </c>
      <c r="F15" s="39">
        <f>VLOOKUP(A15,'Összesített eredmények'!A:AI,31,0)</f>
        <v>25</v>
      </c>
      <c r="G15">
        <f t="shared" si="0"/>
        <v>13</v>
      </c>
      <c r="H15">
        <f t="shared" si="1"/>
        <v>25</v>
      </c>
      <c r="I15">
        <f t="shared" si="2"/>
        <v>25</v>
      </c>
      <c r="J15">
        <f t="shared" si="3"/>
        <v>63</v>
      </c>
    </row>
    <row r="16" spans="1:12" x14ac:dyDescent="0.25">
      <c r="A16" t="s">
        <v>96</v>
      </c>
      <c r="B16" s="39">
        <f>VLOOKUP(A16,'Összesített eredmények'!A:AI,7,0)</f>
        <v>25</v>
      </c>
      <c r="C16" s="39">
        <f>VLOOKUP(A16,'Összesített eredmények'!A:AI,13,0)</f>
        <v>6</v>
      </c>
      <c r="D16" s="39">
        <f>VLOOKUP(A16,'Összesített eredmények'!A:AI,19,0)</f>
        <v>25</v>
      </c>
      <c r="E16" s="39">
        <f>VLOOKUP(A16,'Összesített eredmények'!A:AJ,25,0)</f>
        <v>25</v>
      </c>
      <c r="F16" s="39">
        <f>VLOOKUP(A16,'Összesített eredmények'!A:AI,31,0)</f>
        <v>25</v>
      </c>
      <c r="G16">
        <f t="shared" si="0"/>
        <v>6</v>
      </c>
      <c r="H16">
        <f t="shared" si="1"/>
        <v>25</v>
      </c>
      <c r="I16">
        <f t="shared" si="2"/>
        <v>25</v>
      </c>
      <c r="J16">
        <f t="shared" si="3"/>
        <v>56</v>
      </c>
    </row>
    <row r="17" spans="1:10" x14ac:dyDescent="0.25">
      <c r="A17" t="s">
        <v>105</v>
      </c>
      <c r="B17" s="39">
        <f>VLOOKUP(A17,'Összesített eredmények'!A:AI,7,0)</f>
        <v>25</v>
      </c>
      <c r="C17" s="39">
        <f>VLOOKUP(A17,'Összesített eredmények'!A:AI,13,0)</f>
        <v>12</v>
      </c>
      <c r="D17" s="39">
        <f>VLOOKUP(A17,'Összesített eredmények'!A:AI,19,0)</f>
        <v>25</v>
      </c>
      <c r="E17" s="39">
        <f>VLOOKUP(A17,'Összesített eredmények'!A:AJ,25,0)</f>
        <v>25</v>
      </c>
      <c r="F17" s="39">
        <f>VLOOKUP(A17,'Összesített eredmények'!A:AI,31,0)</f>
        <v>25</v>
      </c>
      <c r="G17">
        <f t="shared" si="0"/>
        <v>12</v>
      </c>
      <c r="H17">
        <f t="shared" si="1"/>
        <v>25</v>
      </c>
      <c r="I17">
        <f t="shared" si="2"/>
        <v>25</v>
      </c>
      <c r="J17">
        <f t="shared" si="3"/>
        <v>62</v>
      </c>
    </row>
    <row r="18" spans="1:10" x14ac:dyDescent="0.25">
      <c r="A18" t="s">
        <v>104</v>
      </c>
      <c r="B18" s="39">
        <f>VLOOKUP(A18,'Összesített eredmények'!A:AI,7,0)</f>
        <v>25</v>
      </c>
      <c r="C18" s="39">
        <f>VLOOKUP(A18,'Összesített eredmények'!A:AI,13,0)</f>
        <v>12</v>
      </c>
      <c r="D18" s="39">
        <f>VLOOKUP(A18,'Összesített eredmények'!A:AI,19,0)</f>
        <v>25</v>
      </c>
      <c r="E18" s="39">
        <f>VLOOKUP(A18,'Összesített eredmények'!A:AJ,25,0)</f>
        <v>25</v>
      </c>
      <c r="F18" s="39">
        <f>VLOOKUP(A18,'Összesített eredmények'!A:AI,31,0)</f>
        <v>25</v>
      </c>
      <c r="G18">
        <f t="shared" si="0"/>
        <v>12</v>
      </c>
      <c r="H18">
        <f t="shared" si="1"/>
        <v>25</v>
      </c>
      <c r="I18">
        <f t="shared" si="2"/>
        <v>25</v>
      </c>
      <c r="J18">
        <f t="shared" si="3"/>
        <v>62</v>
      </c>
    </row>
    <row r="19" spans="1:10" x14ac:dyDescent="0.25">
      <c r="A19" t="s">
        <v>16</v>
      </c>
      <c r="B19" s="39">
        <f>VLOOKUP(A19,'Összesített eredmények'!A:AI,7,0)</f>
        <v>11</v>
      </c>
      <c r="C19" s="39">
        <f>VLOOKUP(A19,'Összesített eredmények'!A:AI,13,0)</f>
        <v>25</v>
      </c>
      <c r="D19" s="39">
        <f>VLOOKUP(A19,'Összesített eredmények'!A:AI,19,0)</f>
        <v>22</v>
      </c>
      <c r="E19" s="39">
        <f>VLOOKUP(A19,'Összesített eredmények'!A:AJ,25,0)</f>
        <v>25</v>
      </c>
      <c r="F19" s="39">
        <f>VLOOKUP(A19,'Összesített eredmények'!A:AI,31,0)</f>
        <v>25</v>
      </c>
      <c r="G19">
        <f t="shared" si="0"/>
        <v>11</v>
      </c>
      <c r="H19">
        <f t="shared" si="1"/>
        <v>22</v>
      </c>
      <c r="I19">
        <f t="shared" si="2"/>
        <v>25</v>
      </c>
      <c r="J19">
        <f t="shared" si="3"/>
        <v>58</v>
      </c>
    </row>
    <row r="20" spans="1:10" x14ac:dyDescent="0.25">
      <c r="A20" t="s">
        <v>154</v>
      </c>
      <c r="B20" s="39">
        <f>VLOOKUP(A20,'Összesített eredmények'!A:AI,7,0)</f>
        <v>25</v>
      </c>
      <c r="C20" s="39">
        <f>VLOOKUP(A20,'Összesített eredmények'!A:AI,13,0)</f>
        <v>25</v>
      </c>
      <c r="D20" s="39">
        <f>VLOOKUP(A20,'Összesített eredmények'!A:AI,19,0)</f>
        <v>24</v>
      </c>
      <c r="E20" s="39">
        <f>VLOOKUP(A20,'Összesített eredmények'!A:AJ,25,0)</f>
        <v>25</v>
      </c>
      <c r="F20" s="39">
        <f>VLOOKUP(A20,'Összesített eredmények'!A:AI,31,0)</f>
        <v>25</v>
      </c>
      <c r="G20">
        <f t="shared" si="0"/>
        <v>24</v>
      </c>
      <c r="H20">
        <f t="shared" si="1"/>
        <v>25</v>
      </c>
      <c r="I20">
        <f t="shared" si="2"/>
        <v>25</v>
      </c>
      <c r="J20">
        <f t="shared" si="3"/>
        <v>74</v>
      </c>
    </row>
    <row r="21" spans="1:10" x14ac:dyDescent="0.25">
      <c r="A21" t="s">
        <v>17</v>
      </c>
      <c r="B21" s="39">
        <f>VLOOKUP(A21,'Összesített eredmények'!A:AI,7,0)</f>
        <v>12</v>
      </c>
      <c r="C21" s="39">
        <f>VLOOKUP(A21,'Összesített eredmények'!A:AI,13,0)</f>
        <v>25</v>
      </c>
      <c r="D21" s="39">
        <f>VLOOKUP(A21,'Összesített eredmények'!A:AI,19,0)</f>
        <v>11</v>
      </c>
      <c r="E21" s="39">
        <f>VLOOKUP(A21,'Összesített eredmények'!A:AJ,25,0)</f>
        <v>25</v>
      </c>
      <c r="F21" s="39">
        <f>VLOOKUP(A21,'Összesített eredmények'!A:AI,31,0)</f>
        <v>25</v>
      </c>
      <c r="G21">
        <f t="shared" si="0"/>
        <v>11</v>
      </c>
      <c r="H21">
        <f t="shared" si="1"/>
        <v>12</v>
      </c>
      <c r="I21">
        <f t="shared" si="2"/>
        <v>25</v>
      </c>
      <c r="J21">
        <f t="shared" si="3"/>
        <v>48</v>
      </c>
    </row>
    <row r="22" spans="1:10" x14ac:dyDescent="0.25">
      <c r="A22" t="s">
        <v>23</v>
      </c>
      <c r="B22" s="39">
        <f>VLOOKUP(A22,'Összesített eredmények'!A:AI,7,0)</f>
        <v>17</v>
      </c>
      <c r="C22" s="39">
        <f>VLOOKUP(A22,'Összesített eredmények'!A:AI,13,0)</f>
        <v>25</v>
      </c>
      <c r="D22" s="39">
        <f>VLOOKUP(A22,'Összesített eredmények'!A:AI,19,0)</f>
        <v>25</v>
      </c>
      <c r="E22" s="39">
        <f>VLOOKUP(A22,'Összesített eredmények'!A:AJ,25,0)</f>
        <v>25</v>
      </c>
      <c r="F22" s="39">
        <f>VLOOKUP(A22,'Összesített eredmények'!A:AI,31,0)</f>
        <v>25</v>
      </c>
      <c r="G22">
        <f t="shared" si="0"/>
        <v>17</v>
      </c>
      <c r="H22">
        <f t="shared" si="1"/>
        <v>25</v>
      </c>
      <c r="I22">
        <f t="shared" si="2"/>
        <v>25</v>
      </c>
      <c r="J22">
        <f t="shared" si="3"/>
        <v>67</v>
      </c>
    </row>
    <row r="23" spans="1:10" x14ac:dyDescent="0.25">
      <c r="A23" t="s">
        <v>29</v>
      </c>
      <c r="B23" s="39">
        <f>VLOOKUP(A23,'Összesített eredmények'!A:AI,7,0)</f>
        <v>17</v>
      </c>
      <c r="C23" s="39">
        <f>VLOOKUP(A23,'Összesített eredmények'!A:AI,13,0)</f>
        <v>25</v>
      </c>
      <c r="D23" s="39">
        <f>VLOOKUP(A23,'Összesített eredmények'!A:AI,19,0)</f>
        <v>19</v>
      </c>
      <c r="E23" s="39">
        <f>VLOOKUP(A23,'Összesített eredmények'!A:AJ,25,0)</f>
        <v>25</v>
      </c>
      <c r="F23" s="39">
        <f>VLOOKUP(A23,'Összesített eredmények'!A:AI,31,0)</f>
        <v>25</v>
      </c>
      <c r="G23">
        <f t="shared" si="0"/>
        <v>17</v>
      </c>
      <c r="H23">
        <f t="shared" si="1"/>
        <v>19</v>
      </c>
      <c r="I23">
        <f t="shared" si="2"/>
        <v>25</v>
      </c>
      <c r="J23">
        <f t="shared" si="3"/>
        <v>61</v>
      </c>
    </row>
    <row r="24" spans="1:10" x14ac:dyDescent="0.25">
      <c r="A24" t="s">
        <v>155</v>
      </c>
      <c r="B24" s="39">
        <f>VLOOKUP(A24,'Összesített eredmények'!A:AI,7,0)</f>
        <v>25</v>
      </c>
      <c r="C24" s="39">
        <f>VLOOKUP(A24,'Összesített eredmények'!A:AI,13,0)</f>
        <v>25</v>
      </c>
      <c r="D24" s="39">
        <f>VLOOKUP(A24,'Összesített eredmények'!A:AI,19,0)</f>
        <v>15</v>
      </c>
      <c r="E24" s="39">
        <f>VLOOKUP(A24,'Összesített eredmények'!A:AJ,25,0)</f>
        <v>25</v>
      </c>
      <c r="F24" s="39">
        <f>VLOOKUP(A24,'Összesített eredmények'!A:AI,31,0)</f>
        <v>25</v>
      </c>
      <c r="G24">
        <f t="shared" si="0"/>
        <v>15</v>
      </c>
      <c r="H24">
        <f t="shared" si="1"/>
        <v>25</v>
      </c>
      <c r="I24">
        <f t="shared" si="2"/>
        <v>25</v>
      </c>
      <c r="J24">
        <f t="shared" si="3"/>
        <v>65</v>
      </c>
    </row>
    <row r="25" spans="1:10" x14ac:dyDescent="0.25">
      <c r="A25" t="s">
        <v>15</v>
      </c>
      <c r="B25" s="39">
        <f>VLOOKUP(A25,'Összesített eredmények'!A:AI,7,0)</f>
        <v>8</v>
      </c>
      <c r="C25" s="39">
        <f>VLOOKUP(A25,'Összesített eredmények'!A:AI,13,0)</f>
        <v>25</v>
      </c>
      <c r="D25" s="39">
        <f>VLOOKUP(A25,'Összesített eredmények'!A:AI,19,0)</f>
        <v>10</v>
      </c>
      <c r="E25" s="39">
        <f>VLOOKUP(A25,'Összesített eredmények'!A:AJ,25,0)</f>
        <v>25</v>
      </c>
      <c r="F25" s="39">
        <f>VLOOKUP(A25,'Összesített eredmények'!A:AI,31,0)</f>
        <v>25</v>
      </c>
      <c r="G25">
        <f t="shared" si="0"/>
        <v>8</v>
      </c>
      <c r="H25">
        <f t="shared" si="1"/>
        <v>10</v>
      </c>
      <c r="I25">
        <f t="shared" si="2"/>
        <v>25</v>
      </c>
      <c r="J25">
        <f t="shared" si="3"/>
        <v>43</v>
      </c>
    </row>
    <row r="26" spans="1:10" x14ac:dyDescent="0.25">
      <c r="A26" t="s">
        <v>81</v>
      </c>
      <c r="B26" s="39">
        <f>VLOOKUP(A26,'Összesített eredmények'!A:AI,7,0)</f>
        <v>25</v>
      </c>
      <c r="C26" s="39">
        <f>VLOOKUP(A26,'Összesített eredmények'!A:AI,13,0)</f>
        <v>5</v>
      </c>
      <c r="D26" s="39">
        <f>VLOOKUP(A26,'Összesített eredmények'!A:AI,19,0)</f>
        <v>25</v>
      </c>
      <c r="E26" s="39">
        <f>VLOOKUP(A26,'Összesített eredmények'!A:AJ,25,0)</f>
        <v>25</v>
      </c>
      <c r="F26" s="39">
        <f>VLOOKUP(A26,'Összesített eredmények'!A:AI,31,0)</f>
        <v>25</v>
      </c>
      <c r="G26">
        <f t="shared" si="0"/>
        <v>5</v>
      </c>
      <c r="H26">
        <f t="shared" si="1"/>
        <v>25</v>
      </c>
      <c r="I26">
        <f t="shared" si="2"/>
        <v>25</v>
      </c>
      <c r="J26">
        <f t="shared" si="3"/>
        <v>55</v>
      </c>
    </row>
    <row r="27" spans="1:10" x14ac:dyDescent="0.25">
      <c r="A27" t="s">
        <v>100</v>
      </c>
      <c r="B27" s="39">
        <f>VLOOKUP(A27,'Összesített eredmények'!A:AI,7,0)</f>
        <v>25</v>
      </c>
      <c r="C27" s="39">
        <f>VLOOKUP(A27,'Összesített eredmények'!A:AI,13,0)</f>
        <v>2</v>
      </c>
      <c r="D27" s="39">
        <f>VLOOKUP(A27,'Összesített eredmények'!A:AI,19,0)</f>
        <v>8</v>
      </c>
      <c r="E27" s="39">
        <f>VLOOKUP(A27,'Összesített eredmények'!A:AJ,25,0)</f>
        <v>25</v>
      </c>
      <c r="F27" s="39">
        <f>VLOOKUP(A27,'Összesített eredmények'!A:AI,31,0)</f>
        <v>25</v>
      </c>
      <c r="G27">
        <f t="shared" si="0"/>
        <v>2</v>
      </c>
      <c r="H27">
        <f t="shared" si="1"/>
        <v>8</v>
      </c>
      <c r="I27">
        <f t="shared" si="2"/>
        <v>25</v>
      </c>
      <c r="J27">
        <f t="shared" si="3"/>
        <v>35</v>
      </c>
    </row>
    <row r="28" spans="1:10" x14ac:dyDescent="0.25">
      <c r="A28" t="s">
        <v>31</v>
      </c>
      <c r="B28" s="39">
        <f>VLOOKUP(A28,'Összesített eredmények'!A:AI,7,0)</f>
        <v>17</v>
      </c>
      <c r="C28" s="39">
        <f>VLOOKUP(A28,'Összesített eredmények'!A:AI,13,0)</f>
        <v>4</v>
      </c>
      <c r="D28" s="39">
        <f>VLOOKUP(A28,'Összesített eredmények'!A:AI,19,0)</f>
        <v>4</v>
      </c>
      <c r="E28" s="39">
        <f>VLOOKUP(A28,'Összesített eredmények'!A:AJ,25,0)</f>
        <v>25</v>
      </c>
      <c r="F28" s="39">
        <f>VLOOKUP(A28,'Összesített eredmények'!A:AI,31,0)</f>
        <v>25</v>
      </c>
      <c r="G28">
        <f t="shared" si="0"/>
        <v>4</v>
      </c>
      <c r="H28">
        <f t="shared" si="1"/>
        <v>4</v>
      </c>
      <c r="I28">
        <f t="shared" si="2"/>
        <v>17</v>
      </c>
      <c r="J28">
        <f t="shared" si="3"/>
        <v>25</v>
      </c>
    </row>
    <row r="29" spans="1:10" x14ac:dyDescent="0.25">
      <c r="A29" t="s">
        <v>8</v>
      </c>
      <c r="B29" s="39">
        <f>VLOOKUP(A29,'Összesített eredmények'!A:AI,7,0)</f>
        <v>7</v>
      </c>
      <c r="C29" s="39">
        <f>VLOOKUP(A29,'Összesített eredmények'!A:AI,13,0)</f>
        <v>25</v>
      </c>
      <c r="D29" s="39">
        <f>VLOOKUP(A29,'Összesített eredmények'!A:AI,19,0)</f>
        <v>9</v>
      </c>
      <c r="E29" s="39">
        <f>VLOOKUP(A29,'Összesített eredmények'!A:AJ,25,0)</f>
        <v>25</v>
      </c>
      <c r="F29" s="39">
        <f>VLOOKUP(A29,'Összesített eredmények'!A:AI,31,0)</f>
        <v>25</v>
      </c>
      <c r="G29">
        <f t="shared" si="0"/>
        <v>7</v>
      </c>
      <c r="H29">
        <f t="shared" si="1"/>
        <v>9</v>
      </c>
      <c r="I29">
        <f t="shared" si="2"/>
        <v>25</v>
      </c>
      <c r="J29">
        <f t="shared" si="3"/>
        <v>41</v>
      </c>
    </row>
    <row r="30" spans="1:10" x14ac:dyDescent="0.25">
      <c r="A30" t="s">
        <v>7</v>
      </c>
      <c r="B30" s="39">
        <f>VLOOKUP(A30,'Összesített eredmények'!A:AI,7,0)</f>
        <v>5</v>
      </c>
      <c r="C30" s="39">
        <f>VLOOKUP(A30,'Összesített eredmények'!A:AI,13,0)</f>
        <v>25</v>
      </c>
      <c r="D30" s="39">
        <f>VLOOKUP(A30,'Összesített eredmények'!A:AI,19,0)</f>
        <v>6</v>
      </c>
      <c r="E30" s="39">
        <f>VLOOKUP(A30,'Összesített eredmények'!A:AJ,25,0)</f>
        <v>25</v>
      </c>
      <c r="F30" s="39">
        <f>VLOOKUP(A30,'Összesített eredmények'!A:AI,31,0)</f>
        <v>25</v>
      </c>
      <c r="G30">
        <f t="shared" si="0"/>
        <v>5</v>
      </c>
      <c r="H30">
        <f t="shared" si="1"/>
        <v>6</v>
      </c>
      <c r="I30">
        <f t="shared" si="2"/>
        <v>25</v>
      </c>
      <c r="J30">
        <f t="shared" si="3"/>
        <v>36</v>
      </c>
    </row>
    <row r="31" spans="1:10" x14ac:dyDescent="0.25">
      <c r="A31" t="s">
        <v>156</v>
      </c>
      <c r="B31" s="39">
        <f>VLOOKUP(A31,'Összesített eredmények'!A:AI,7,0)</f>
        <v>25</v>
      </c>
      <c r="C31" s="39">
        <f>VLOOKUP(A31,'Összesített eredmények'!A:AI,13,0)</f>
        <v>25</v>
      </c>
      <c r="D31" s="39">
        <f>VLOOKUP(A31,'Összesített eredmények'!A:AI,19,0)</f>
        <v>3</v>
      </c>
      <c r="E31" s="39">
        <f>VLOOKUP(A31,'Összesített eredmények'!A:AJ,25,0)</f>
        <v>25</v>
      </c>
      <c r="F31" s="39">
        <f>VLOOKUP(A31,'Összesített eredmények'!A:AI,31,0)</f>
        <v>25</v>
      </c>
      <c r="G31">
        <f t="shared" si="0"/>
        <v>3</v>
      </c>
      <c r="H31">
        <f t="shared" si="1"/>
        <v>25</v>
      </c>
      <c r="I31">
        <f t="shared" si="2"/>
        <v>25</v>
      </c>
      <c r="J31">
        <f t="shared" si="3"/>
        <v>53</v>
      </c>
    </row>
    <row r="32" spans="1:10" x14ac:dyDescent="0.25">
      <c r="A32" t="s">
        <v>28</v>
      </c>
      <c r="B32" s="39">
        <f>VLOOKUP(A32,'Összesített eredmények'!A:AI,7,0)</f>
        <v>4</v>
      </c>
      <c r="C32" s="39">
        <f>VLOOKUP(A32,'Összesített eredmények'!A:AI,13,0)</f>
        <v>25</v>
      </c>
      <c r="D32" s="39">
        <f>VLOOKUP(A32,'Összesített eredmények'!A:AI,19,0)</f>
        <v>25</v>
      </c>
      <c r="E32" s="39">
        <f>VLOOKUP(A32,'Összesített eredmények'!A:AJ,25,0)</f>
        <v>25</v>
      </c>
      <c r="F32" s="39">
        <f>VLOOKUP(A32,'Összesített eredmények'!A:AI,31,0)</f>
        <v>25</v>
      </c>
      <c r="G32">
        <f t="shared" si="0"/>
        <v>4</v>
      </c>
      <c r="H32">
        <f t="shared" si="1"/>
        <v>25</v>
      </c>
      <c r="I32">
        <f t="shared" si="2"/>
        <v>25</v>
      </c>
      <c r="J32">
        <f t="shared" si="3"/>
        <v>54</v>
      </c>
    </row>
    <row r="33" spans="1:10" x14ac:dyDescent="0.25">
      <c r="A33" t="s">
        <v>102</v>
      </c>
      <c r="B33" s="39">
        <f>VLOOKUP(A33,'Összesített eredmények'!A:AI,7,0)</f>
        <v>25</v>
      </c>
      <c r="C33" s="39">
        <f>VLOOKUP(A33,'Összesített eredmények'!A:AI,13,0)</f>
        <v>3</v>
      </c>
      <c r="D33" s="39">
        <f>VLOOKUP(A33,'Összesített eredmények'!A:AI,19,0)</f>
        <v>1</v>
      </c>
      <c r="E33" s="39">
        <f>VLOOKUP(A33,'Összesített eredmények'!A:AJ,25,0)</f>
        <v>25</v>
      </c>
      <c r="F33" s="39">
        <f>VLOOKUP(A33,'Összesített eredmények'!A:AI,31,0)</f>
        <v>25</v>
      </c>
      <c r="G33">
        <f t="shared" si="0"/>
        <v>1</v>
      </c>
      <c r="H33">
        <f t="shared" si="1"/>
        <v>3</v>
      </c>
      <c r="I33">
        <f t="shared" si="2"/>
        <v>25</v>
      </c>
      <c r="J33">
        <f t="shared" si="3"/>
        <v>29</v>
      </c>
    </row>
    <row r="34" spans="1:10" x14ac:dyDescent="0.25">
      <c r="A34" t="s">
        <v>98</v>
      </c>
      <c r="B34" s="39">
        <f>VLOOKUP(A34,'Összesített eredmények'!A:AI,7,0)</f>
        <v>25</v>
      </c>
      <c r="C34" s="39">
        <f>VLOOKUP(A34,'Összesített eredmények'!A:AI,13,0)</f>
        <v>8</v>
      </c>
      <c r="D34" s="39">
        <f>VLOOKUP(A34,'Összesített eredmények'!A:AI,19,0)</f>
        <v>2</v>
      </c>
      <c r="E34" s="39">
        <f>VLOOKUP(A34,'Összesített eredmények'!A:AJ,25,0)</f>
        <v>25</v>
      </c>
      <c r="F34" s="39">
        <f>VLOOKUP(A34,'Összesített eredmények'!A:AI,31,0)</f>
        <v>25</v>
      </c>
      <c r="G34">
        <f t="shared" si="0"/>
        <v>2</v>
      </c>
      <c r="H34">
        <f t="shared" si="1"/>
        <v>8</v>
      </c>
      <c r="I34">
        <f t="shared" si="2"/>
        <v>25</v>
      </c>
      <c r="J34">
        <f t="shared" si="3"/>
        <v>35</v>
      </c>
    </row>
    <row r="35" spans="1:10" x14ac:dyDescent="0.25">
      <c r="A35" t="s">
        <v>76</v>
      </c>
      <c r="B35" s="39">
        <f>VLOOKUP(A35,'Összesített eredmények'!A:AI,7,0)</f>
        <v>25</v>
      </c>
      <c r="C35" s="39">
        <f>VLOOKUP(A35,'Összesített eredmények'!A:AI,13,0)</f>
        <v>1</v>
      </c>
      <c r="D35" s="39">
        <f>VLOOKUP(A35,'Összesített eredmények'!A:AI,19,0)</f>
        <v>25</v>
      </c>
      <c r="E35" s="39">
        <f>VLOOKUP(A35,'Összesített eredmények'!A:AJ,25,0)</f>
        <v>25</v>
      </c>
      <c r="F35" s="39">
        <f>VLOOKUP(A35,'Összesített eredmények'!A:AI,31,0)</f>
        <v>25</v>
      </c>
      <c r="G35">
        <f t="shared" si="0"/>
        <v>1</v>
      </c>
      <c r="H35">
        <f t="shared" si="1"/>
        <v>25</v>
      </c>
      <c r="I35">
        <f t="shared" si="2"/>
        <v>25</v>
      </c>
      <c r="J35">
        <f t="shared" si="3"/>
        <v>51</v>
      </c>
    </row>
    <row r="36" spans="1:10" x14ac:dyDescent="0.25">
      <c r="A36" t="s">
        <v>30</v>
      </c>
      <c r="B36" s="39">
        <f>VLOOKUP(A36,'Összesített eredmények'!A:AI,7,0)</f>
        <v>2</v>
      </c>
      <c r="C36" s="39">
        <f>VLOOKUP(A36,'Összesített eredmények'!A:AI,13,0)</f>
        <v>1</v>
      </c>
      <c r="D36" s="39">
        <f>VLOOKUP(A36,'Összesített eredmények'!A:AI,19,0)</f>
        <v>7</v>
      </c>
      <c r="E36" s="39">
        <f>VLOOKUP(A36,'Összesített eredmények'!A:AJ,25,0)</f>
        <v>25</v>
      </c>
      <c r="F36" s="39">
        <f>VLOOKUP(A36,'Összesített eredmények'!A:AI,31,0)</f>
        <v>25</v>
      </c>
      <c r="G36">
        <f t="shared" si="0"/>
        <v>1</v>
      </c>
      <c r="H36">
        <f t="shared" si="1"/>
        <v>2</v>
      </c>
      <c r="I36">
        <f t="shared" si="2"/>
        <v>7</v>
      </c>
      <c r="J36">
        <f t="shared" si="3"/>
        <v>10</v>
      </c>
    </row>
    <row r="37" spans="1:10" x14ac:dyDescent="0.25">
      <c r="A37" t="s">
        <v>103</v>
      </c>
      <c r="B37" s="39">
        <f>VLOOKUP(A37,'Összesített eredmények'!A:AI,7,0)</f>
        <v>25</v>
      </c>
      <c r="C37" s="39">
        <f>VLOOKUP(A37,'Összesített eredmények'!A:AI,13,0)</f>
        <v>10</v>
      </c>
      <c r="D37" s="39">
        <f>VLOOKUP(A37,'Összesített eredmények'!A:AI,19,0)</f>
        <v>25</v>
      </c>
      <c r="E37" s="39">
        <f>VLOOKUP(A37,'Összesített eredmények'!A:AJ,25,0)</f>
        <v>25</v>
      </c>
      <c r="F37" s="39">
        <f>VLOOKUP(A37,'Összesített eredmények'!A:AI,31,0)</f>
        <v>25</v>
      </c>
      <c r="G37">
        <f t="shared" si="0"/>
        <v>10</v>
      </c>
      <c r="H37">
        <f t="shared" si="1"/>
        <v>25</v>
      </c>
      <c r="I37">
        <f t="shared" si="2"/>
        <v>25</v>
      </c>
      <c r="J37">
        <f t="shared" si="3"/>
        <v>60</v>
      </c>
    </row>
    <row r="38" spans="1:10" x14ac:dyDescent="0.25">
      <c r="A38" t="s">
        <v>5</v>
      </c>
      <c r="B38" s="39">
        <f>VLOOKUP(A38,'Összesített eredmények'!A:AI,7,0)</f>
        <v>9</v>
      </c>
      <c r="C38" s="39">
        <f>VLOOKUP(A38,'Összesített eredmények'!A:AI,13,0)</f>
        <v>10</v>
      </c>
      <c r="D38" s="39">
        <f>VLOOKUP(A38,'Összesített eredmények'!A:AI,19,0)</f>
        <v>18</v>
      </c>
      <c r="E38" s="39">
        <f>VLOOKUP(A38,'Összesített eredmények'!A:AJ,25,0)</f>
        <v>25</v>
      </c>
      <c r="F38" s="39">
        <f>VLOOKUP(A38,'Összesített eredmények'!A:AI,31,0)</f>
        <v>25</v>
      </c>
      <c r="G38">
        <f t="shared" si="0"/>
        <v>9</v>
      </c>
      <c r="H38">
        <f t="shared" si="1"/>
        <v>10</v>
      </c>
      <c r="I38">
        <f t="shared" si="2"/>
        <v>18</v>
      </c>
      <c r="J38">
        <f t="shared" si="3"/>
        <v>37</v>
      </c>
    </row>
    <row r="39" spans="1:10" x14ac:dyDescent="0.25">
      <c r="A39" t="s">
        <v>97</v>
      </c>
      <c r="B39" s="39">
        <f>VLOOKUP(A39,'Összesített eredmények'!A:AI,7,0)</f>
        <v>25</v>
      </c>
      <c r="C39" s="39">
        <f>VLOOKUP(A39,'Összesített eredmények'!A:AI,13,0)</f>
        <v>8</v>
      </c>
      <c r="D39" s="39">
        <f>VLOOKUP(A39,'Összesített eredmények'!A:AI,19,0)</f>
        <v>25</v>
      </c>
      <c r="E39" s="39">
        <f>VLOOKUP(A39,'Összesített eredmények'!A:AJ,25,0)</f>
        <v>25</v>
      </c>
      <c r="F39" s="39">
        <f>VLOOKUP(A39,'Összesített eredmények'!A:AI,31,0)</f>
        <v>25</v>
      </c>
      <c r="G39">
        <f t="shared" si="0"/>
        <v>8</v>
      </c>
      <c r="H39">
        <f t="shared" si="1"/>
        <v>25</v>
      </c>
      <c r="I39">
        <f t="shared" si="2"/>
        <v>25</v>
      </c>
      <c r="J39">
        <f t="shared" si="3"/>
        <v>58</v>
      </c>
    </row>
    <row r="40" spans="1:10" x14ac:dyDescent="0.25">
      <c r="A40" t="s">
        <v>6</v>
      </c>
      <c r="B40" s="39">
        <f>VLOOKUP(A40,'Összesített eredmények'!A:AI,7,0)</f>
        <v>14</v>
      </c>
      <c r="C40" s="39">
        <f>VLOOKUP(A40,'Összesített eredmények'!A:AI,13,0)</f>
        <v>9</v>
      </c>
      <c r="D40" s="39">
        <f>VLOOKUP(A40,'Összesített eredmények'!A:AI,19,0)</f>
        <v>25</v>
      </c>
      <c r="E40" s="39">
        <f>VLOOKUP(A40,'Összesített eredmények'!A:AJ,25,0)</f>
        <v>25</v>
      </c>
      <c r="F40" s="39">
        <f>VLOOKUP(A40,'Összesített eredmények'!A:AI,31,0)</f>
        <v>25</v>
      </c>
      <c r="G40">
        <f t="shared" si="0"/>
        <v>9</v>
      </c>
      <c r="H40">
        <f t="shared" si="1"/>
        <v>14</v>
      </c>
      <c r="I40">
        <f t="shared" si="2"/>
        <v>25</v>
      </c>
      <c r="J40">
        <f t="shared" si="3"/>
        <v>48</v>
      </c>
    </row>
    <row r="41" spans="1:10" x14ac:dyDescent="0.25">
      <c r="A41" t="s">
        <v>75</v>
      </c>
      <c r="B41" s="39">
        <f>VLOOKUP(A41,'Összesített eredmények'!A:AI,7,0)</f>
        <v>25</v>
      </c>
      <c r="C41" s="39">
        <f>VLOOKUP(A41,'Összesített eredmények'!A:AI,13,0)</f>
        <v>9</v>
      </c>
      <c r="D41" s="39">
        <f>VLOOKUP(A41,'Összesített eredmények'!A:AI,19,0)</f>
        <v>21</v>
      </c>
      <c r="E41" s="39">
        <f>VLOOKUP(A41,'Összesített eredmények'!A:AJ,25,0)</f>
        <v>25</v>
      </c>
      <c r="F41" s="39">
        <f>VLOOKUP(A41,'Összesített eredmények'!A:AI,31,0)</f>
        <v>25</v>
      </c>
      <c r="G41">
        <f t="shared" si="0"/>
        <v>9</v>
      </c>
      <c r="H41">
        <f t="shared" si="1"/>
        <v>21</v>
      </c>
      <c r="I41">
        <f t="shared" si="2"/>
        <v>25</v>
      </c>
      <c r="J41">
        <f t="shared" si="3"/>
        <v>55</v>
      </c>
    </row>
    <row r="42" spans="1:10" x14ac:dyDescent="0.25">
      <c r="A42" t="s">
        <v>157</v>
      </c>
      <c r="B42" s="39">
        <f>VLOOKUP(A42,'Összesített eredmények'!A:AI,7,0)</f>
        <v>25</v>
      </c>
      <c r="C42" s="39">
        <f>VLOOKUP(A42,'Összesített eredmények'!A:AI,13,0)</f>
        <v>25</v>
      </c>
      <c r="D42" s="39">
        <f>VLOOKUP(A42,'Összesített eredmények'!A:AI,19,0)</f>
        <v>23</v>
      </c>
      <c r="E42" s="39">
        <f>VLOOKUP(A42,'Összesített eredmények'!A:AJ,25,0)</f>
        <v>25</v>
      </c>
      <c r="F42" s="39">
        <f>VLOOKUP(A42,'Összesített eredmények'!A:AI,31,0)</f>
        <v>25</v>
      </c>
      <c r="G42">
        <f t="shared" si="0"/>
        <v>23</v>
      </c>
      <c r="H42">
        <f t="shared" si="1"/>
        <v>25</v>
      </c>
      <c r="I42">
        <f t="shared" si="2"/>
        <v>25</v>
      </c>
      <c r="J42">
        <f t="shared" si="3"/>
        <v>73</v>
      </c>
    </row>
    <row r="43" spans="1:10" x14ac:dyDescent="0.25">
      <c r="A43" t="s">
        <v>78</v>
      </c>
      <c r="B43" s="39">
        <f>VLOOKUP(A43,'Összesített eredmények'!A:AI,7,0)</f>
        <v>25</v>
      </c>
      <c r="C43" s="39">
        <f>VLOOKUP(A43,'Összesített eredmények'!A:AI,13,0)</f>
        <v>11</v>
      </c>
      <c r="D43" s="39">
        <f>VLOOKUP(A43,'Összesített eredmények'!A:AI,19,0)</f>
        <v>25</v>
      </c>
      <c r="E43" s="39">
        <f>VLOOKUP(A43,'Összesített eredmények'!A:AJ,25,0)</f>
        <v>25</v>
      </c>
      <c r="F43" s="39">
        <f>VLOOKUP(A43,'Összesített eredmények'!A:AI,31,0)</f>
        <v>25</v>
      </c>
      <c r="G43">
        <f t="shared" si="0"/>
        <v>11</v>
      </c>
      <c r="H43">
        <f t="shared" si="1"/>
        <v>25</v>
      </c>
      <c r="I43">
        <f t="shared" si="2"/>
        <v>25</v>
      </c>
      <c r="J43">
        <f t="shared" si="3"/>
        <v>61</v>
      </c>
    </row>
    <row r="44" spans="1:10" x14ac:dyDescent="0.25">
      <c r="A44" t="s">
        <v>86</v>
      </c>
      <c r="B44" s="39">
        <f>VLOOKUP(A44,'Összesített eredmények'!A:AI,7,0)</f>
        <v>1</v>
      </c>
      <c r="C44" s="39">
        <f>VLOOKUP(A44,'Összesített eredmények'!A:AI,13,0)</f>
        <v>25</v>
      </c>
      <c r="D44" s="39">
        <f>VLOOKUP(A44,'Összesített eredmények'!A:AI,19,0)</f>
        <v>5</v>
      </c>
      <c r="E44" s="39">
        <f>VLOOKUP(A44,'Összesített eredmények'!A:AJ,25,0)</f>
        <v>25</v>
      </c>
      <c r="F44" s="39">
        <f>VLOOKUP(A44,'Összesített eredmények'!A:AI,31,0)</f>
        <v>25</v>
      </c>
      <c r="G44">
        <f t="shared" si="0"/>
        <v>1</v>
      </c>
      <c r="H44">
        <f t="shared" si="1"/>
        <v>5</v>
      </c>
      <c r="I44">
        <f t="shared" si="2"/>
        <v>25</v>
      </c>
      <c r="J44">
        <f t="shared" si="3"/>
        <v>31</v>
      </c>
    </row>
  </sheetData>
  <mergeCells count="2">
    <mergeCell ref="B1:F1"/>
    <mergeCell ref="G1:I1"/>
  </mergeCells>
  <conditionalFormatting sqref="J1:J1048576">
    <cfRule type="top10" dxfId="0" priority="1" bottom="1" rank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6ED79-1EDF-4655-9B72-C17065528890}">
  <dimension ref="A1:J19"/>
  <sheetViews>
    <sheetView workbookViewId="0">
      <selection activeCell="A6" sqref="A6"/>
    </sheetView>
  </sheetViews>
  <sheetFormatPr defaultRowHeight="15" x14ac:dyDescent="0.25"/>
  <cols>
    <col min="1" max="1" width="23.140625" bestFit="1" customWidth="1"/>
    <col min="2" max="2" width="5.140625" bestFit="1" customWidth="1"/>
    <col min="4" max="4" width="6" bestFit="1" customWidth="1"/>
    <col min="5" max="5" width="10" bestFit="1" customWidth="1"/>
    <col min="7" max="7" width="14.42578125" bestFit="1" customWidth="1"/>
    <col min="9" max="9" width="12.42578125" bestFit="1" customWidth="1"/>
    <col min="10" max="10" width="24.42578125" bestFit="1" customWidth="1"/>
  </cols>
  <sheetData>
    <row r="1" spans="1:10" x14ac:dyDescent="0.25">
      <c r="A1" t="s">
        <v>9</v>
      </c>
      <c r="B1" t="s">
        <v>32</v>
      </c>
      <c r="C1" t="s">
        <v>10</v>
      </c>
      <c r="D1" t="s">
        <v>34</v>
      </c>
      <c r="E1" t="s">
        <v>13</v>
      </c>
      <c r="F1" t="s">
        <v>120</v>
      </c>
      <c r="G1" t="s">
        <v>121</v>
      </c>
      <c r="H1" t="s">
        <v>74</v>
      </c>
      <c r="I1" t="s">
        <v>35</v>
      </c>
      <c r="J1" t="s">
        <v>152</v>
      </c>
    </row>
    <row r="2" spans="1:10" x14ac:dyDescent="0.25">
      <c r="A2" t="s">
        <v>27</v>
      </c>
      <c r="B2">
        <v>22</v>
      </c>
      <c r="C2" s="2">
        <v>4.05</v>
      </c>
      <c r="D2">
        <v>5</v>
      </c>
      <c r="E2" t="s">
        <v>33</v>
      </c>
      <c r="F2">
        <v>0</v>
      </c>
      <c r="G2">
        <v>13</v>
      </c>
      <c r="H2" t="s">
        <v>84</v>
      </c>
      <c r="I2" t="s">
        <v>36</v>
      </c>
      <c r="J2" t="s">
        <v>37</v>
      </c>
    </row>
    <row r="3" spans="1:10" x14ac:dyDescent="0.25">
      <c r="A3" t="s">
        <v>26</v>
      </c>
      <c r="B3">
        <v>18</v>
      </c>
      <c r="C3" s="2">
        <v>15.55</v>
      </c>
      <c r="D3">
        <v>9</v>
      </c>
      <c r="E3" t="s">
        <v>33</v>
      </c>
      <c r="F3">
        <v>1</v>
      </c>
      <c r="G3">
        <v>10</v>
      </c>
      <c r="H3" t="s">
        <v>84</v>
      </c>
      <c r="I3" t="s">
        <v>38</v>
      </c>
      <c r="J3" t="s">
        <v>39</v>
      </c>
    </row>
    <row r="4" spans="1:10" x14ac:dyDescent="0.25">
      <c r="A4" t="s">
        <v>25</v>
      </c>
      <c r="B4">
        <v>16</v>
      </c>
      <c r="C4" s="2">
        <v>41.31</v>
      </c>
      <c r="D4">
        <v>27</v>
      </c>
      <c r="E4" t="s">
        <v>33</v>
      </c>
      <c r="F4">
        <v>8</v>
      </c>
      <c r="G4">
        <v>3</v>
      </c>
      <c r="H4" t="s">
        <v>84</v>
      </c>
      <c r="I4" t="s">
        <v>40</v>
      </c>
      <c r="J4" t="s">
        <v>41</v>
      </c>
    </row>
    <row r="5" spans="1:10" x14ac:dyDescent="0.25">
      <c r="A5" t="s">
        <v>95</v>
      </c>
      <c r="B5">
        <v>20</v>
      </c>
      <c r="C5" s="2">
        <v>21.830000000000002</v>
      </c>
      <c r="D5">
        <v>23</v>
      </c>
      <c r="E5" t="s">
        <v>33</v>
      </c>
      <c r="F5">
        <v>5</v>
      </c>
      <c r="G5">
        <v>6</v>
      </c>
      <c r="H5" t="s">
        <v>84</v>
      </c>
      <c r="I5" t="s">
        <v>42</v>
      </c>
      <c r="J5" t="s">
        <v>43</v>
      </c>
    </row>
    <row r="6" spans="1:10" x14ac:dyDescent="0.25">
      <c r="A6" t="s">
        <v>24</v>
      </c>
      <c r="B6">
        <v>6</v>
      </c>
      <c r="C6" s="2">
        <v>0.28000000000000003</v>
      </c>
      <c r="D6">
        <v>2</v>
      </c>
      <c r="E6" t="s">
        <v>33</v>
      </c>
      <c r="F6">
        <v>0</v>
      </c>
      <c r="G6">
        <v>15</v>
      </c>
      <c r="H6" t="s">
        <v>118</v>
      </c>
      <c r="I6" t="s">
        <v>44</v>
      </c>
      <c r="J6" t="s">
        <v>45</v>
      </c>
    </row>
    <row r="7" spans="1:10" x14ac:dyDescent="0.25">
      <c r="A7" t="s">
        <v>16</v>
      </c>
      <c r="B7">
        <v>14</v>
      </c>
      <c r="C7" s="2">
        <v>7.75</v>
      </c>
      <c r="D7">
        <v>11</v>
      </c>
      <c r="E7" t="s">
        <v>33</v>
      </c>
      <c r="F7">
        <v>0</v>
      </c>
      <c r="G7">
        <v>11</v>
      </c>
      <c r="H7" t="s">
        <v>84</v>
      </c>
      <c r="I7" t="s">
        <v>46</v>
      </c>
      <c r="J7" t="s">
        <v>47</v>
      </c>
    </row>
    <row r="8" spans="1:10" x14ac:dyDescent="0.25">
      <c r="A8" t="s">
        <v>17</v>
      </c>
      <c r="B8">
        <v>35</v>
      </c>
      <c r="C8" s="2">
        <v>5.98</v>
      </c>
      <c r="D8">
        <v>8</v>
      </c>
      <c r="E8" t="s">
        <v>33</v>
      </c>
      <c r="F8">
        <v>0</v>
      </c>
      <c r="G8">
        <v>12</v>
      </c>
      <c r="H8" t="s">
        <v>85</v>
      </c>
      <c r="I8" t="s">
        <v>48</v>
      </c>
      <c r="J8" t="s">
        <v>49</v>
      </c>
    </row>
    <row r="9" spans="1:10" x14ac:dyDescent="0.25">
      <c r="A9" t="s">
        <v>23</v>
      </c>
      <c r="B9">
        <v>4</v>
      </c>
      <c r="C9" s="2">
        <v>0</v>
      </c>
      <c r="D9">
        <v>0</v>
      </c>
      <c r="E9" t="s">
        <v>33</v>
      </c>
      <c r="F9">
        <v>0</v>
      </c>
      <c r="G9">
        <v>17</v>
      </c>
      <c r="H9" t="s">
        <v>118</v>
      </c>
      <c r="I9" t="s">
        <v>50</v>
      </c>
      <c r="J9" t="s">
        <v>51</v>
      </c>
    </row>
    <row r="10" spans="1:10" x14ac:dyDescent="0.25">
      <c r="A10" t="s">
        <v>29</v>
      </c>
      <c r="B10">
        <v>29</v>
      </c>
      <c r="C10" s="2">
        <v>0</v>
      </c>
      <c r="D10">
        <v>0</v>
      </c>
      <c r="E10" t="s">
        <v>33</v>
      </c>
      <c r="F10">
        <v>0</v>
      </c>
      <c r="G10">
        <v>17</v>
      </c>
      <c r="H10" t="s">
        <v>85</v>
      </c>
      <c r="I10" t="s">
        <v>52</v>
      </c>
      <c r="J10" t="s">
        <v>53</v>
      </c>
    </row>
    <row r="11" spans="1:10" x14ac:dyDescent="0.25">
      <c r="A11" t="s">
        <v>15</v>
      </c>
      <c r="B11">
        <v>8</v>
      </c>
      <c r="C11" s="2">
        <v>17.509999999999998</v>
      </c>
      <c r="D11">
        <v>18</v>
      </c>
      <c r="E11" t="s">
        <v>33</v>
      </c>
      <c r="F11">
        <v>3</v>
      </c>
      <c r="G11">
        <v>8</v>
      </c>
      <c r="H11" t="s">
        <v>118</v>
      </c>
      <c r="I11" t="s">
        <v>54</v>
      </c>
      <c r="J11" t="s">
        <v>55</v>
      </c>
    </row>
    <row r="12" spans="1:10" x14ac:dyDescent="0.25">
      <c r="A12" t="s">
        <v>31</v>
      </c>
      <c r="B12">
        <v>37</v>
      </c>
      <c r="C12" s="2">
        <v>0</v>
      </c>
      <c r="D12">
        <v>0</v>
      </c>
      <c r="E12" t="s">
        <v>33</v>
      </c>
      <c r="F12">
        <v>0</v>
      </c>
      <c r="G12">
        <v>17</v>
      </c>
      <c r="H12" t="s">
        <v>85</v>
      </c>
      <c r="I12" t="s">
        <v>56</v>
      </c>
      <c r="J12" t="s">
        <v>57</v>
      </c>
    </row>
    <row r="13" spans="1:10" x14ac:dyDescent="0.25">
      <c r="A13" t="s">
        <v>8</v>
      </c>
      <c r="B13">
        <v>12</v>
      </c>
      <c r="C13" s="2">
        <v>20.68</v>
      </c>
      <c r="D13">
        <v>6</v>
      </c>
      <c r="E13" t="s">
        <v>33</v>
      </c>
      <c r="F13">
        <v>4</v>
      </c>
      <c r="G13">
        <v>7</v>
      </c>
      <c r="H13" t="s">
        <v>118</v>
      </c>
      <c r="I13" t="s">
        <v>58</v>
      </c>
      <c r="J13" t="s">
        <v>59</v>
      </c>
    </row>
    <row r="14" spans="1:10" x14ac:dyDescent="0.25">
      <c r="A14" t="s">
        <v>7</v>
      </c>
      <c r="B14">
        <v>31</v>
      </c>
      <c r="C14" s="2">
        <v>24.439999999999998</v>
      </c>
      <c r="D14">
        <v>26</v>
      </c>
      <c r="E14" t="s">
        <v>33</v>
      </c>
      <c r="F14">
        <v>6</v>
      </c>
      <c r="G14">
        <v>5</v>
      </c>
      <c r="H14" t="s">
        <v>85</v>
      </c>
      <c r="I14" t="s">
        <v>60</v>
      </c>
      <c r="J14" t="s">
        <v>61</v>
      </c>
    </row>
    <row r="15" spans="1:10" x14ac:dyDescent="0.25">
      <c r="A15" t="s">
        <v>28</v>
      </c>
      <c r="B15">
        <v>27</v>
      </c>
      <c r="C15" s="2">
        <v>26.240000000000002</v>
      </c>
      <c r="D15">
        <v>15</v>
      </c>
      <c r="E15" t="s">
        <v>33</v>
      </c>
      <c r="F15">
        <v>7</v>
      </c>
      <c r="G15">
        <v>4</v>
      </c>
      <c r="H15" t="s">
        <v>85</v>
      </c>
      <c r="I15" t="s">
        <v>62</v>
      </c>
      <c r="J15" t="s">
        <v>63</v>
      </c>
    </row>
    <row r="16" spans="1:10" x14ac:dyDescent="0.25">
      <c r="A16" t="s">
        <v>30</v>
      </c>
      <c r="B16">
        <v>33</v>
      </c>
      <c r="C16" s="2">
        <v>42.69</v>
      </c>
      <c r="D16">
        <v>23</v>
      </c>
      <c r="E16" t="s">
        <v>33</v>
      </c>
      <c r="F16">
        <v>9</v>
      </c>
      <c r="G16">
        <v>2</v>
      </c>
      <c r="H16" t="s">
        <v>85</v>
      </c>
      <c r="I16" t="s">
        <v>64</v>
      </c>
      <c r="J16" t="s">
        <v>65</v>
      </c>
    </row>
    <row r="17" spans="1:10" x14ac:dyDescent="0.25">
      <c r="A17" t="s">
        <v>5</v>
      </c>
      <c r="B17">
        <v>24</v>
      </c>
      <c r="C17" s="2">
        <v>17.18</v>
      </c>
      <c r="D17">
        <v>5</v>
      </c>
      <c r="E17" t="s">
        <v>33</v>
      </c>
      <c r="F17">
        <v>2</v>
      </c>
      <c r="G17">
        <v>9</v>
      </c>
      <c r="H17" t="s">
        <v>84</v>
      </c>
      <c r="I17" t="s">
        <v>66</v>
      </c>
      <c r="J17" t="s">
        <v>67</v>
      </c>
    </row>
    <row r="18" spans="1:10" x14ac:dyDescent="0.25">
      <c r="A18" t="s">
        <v>6</v>
      </c>
      <c r="B18">
        <v>2</v>
      </c>
      <c r="C18" s="2">
        <v>0.78</v>
      </c>
      <c r="D18">
        <v>1</v>
      </c>
      <c r="E18" t="s">
        <v>33</v>
      </c>
      <c r="F18">
        <v>0</v>
      </c>
      <c r="G18">
        <v>14</v>
      </c>
      <c r="H18" t="s">
        <v>118</v>
      </c>
      <c r="I18" t="s">
        <v>68</v>
      </c>
      <c r="J18" t="s">
        <v>69</v>
      </c>
    </row>
    <row r="19" spans="1:10" x14ac:dyDescent="0.25">
      <c r="A19" t="s">
        <v>86</v>
      </c>
      <c r="B19">
        <v>10</v>
      </c>
      <c r="C19" s="2">
        <v>57.870000000000005</v>
      </c>
      <c r="D19">
        <v>21</v>
      </c>
      <c r="E19" t="s">
        <v>33</v>
      </c>
      <c r="F19">
        <v>10</v>
      </c>
      <c r="G19">
        <v>1</v>
      </c>
      <c r="H19" t="s">
        <v>118</v>
      </c>
    </row>
  </sheetData>
  <sortState ref="I1:J54">
    <sortCondition ref="I1:I54"/>
  </sortState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EBB1-B8E6-4876-AE38-DA22B2E7B3B6}">
  <dimension ref="A1:P27"/>
  <sheetViews>
    <sheetView workbookViewId="0">
      <selection activeCell="G16" sqref="G16"/>
    </sheetView>
  </sheetViews>
  <sheetFormatPr defaultRowHeight="15" x14ac:dyDescent="0.25"/>
  <cols>
    <col min="1" max="1" width="23.140625" bestFit="1" customWidth="1"/>
    <col min="2" max="2" width="5.140625" bestFit="1" customWidth="1"/>
    <col min="4" max="4" width="6" bestFit="1" customWidth="1"/>
    <col min="5" max="5" width="10" bestFit="1" customWidth="1"/>
    <col min="7" max="7" width="21.5703125" bestFit="1" customWidth="1"/>
    <col min="8" max="8" width="7.42578125" bestFit="1" customWidth="1"/>
    <col min="9" max="9" width="14" customWidth="1"/>
    <col min="10" max="10" width="33" bestFit="1" customWidth="1"/>
    <col min="11" max="11" width="7" bestFit="1" customWidth="1"/>
    <col min="14" max="14" width="32.7109375" bestFit="1" customWidth="1"/>
    <col min="15" max="15" width="7" bestFit="1" customWidth="1"/>
  </cols>
  <sheetData>
    <row r="1" spans="1:16" x14ac:dyDescent="0.25">
      <c r="A1" t="s">
        <v>9</v>
      </c>
      <c r="B1" t="s">
        <v>32</v>
      </c>
      <c r="C1" t="s">
        <v>10</v>
      </c>
      <c r="D1" t="s">
        <v>34</v>
      </c>
      <c r="E1" t="s">
        <v>13</v>
      </c>
      <c r="F1" t="s">
        <v>11</v>
      </c>
      <c r="G1" t="s">
        <v>119</v>
      </c>
      <c r="H1" t="s">
        <v>74</v>
      </c>
      <c r="J1" t="s">
        <v>123</v>
      </c>
      <c r="N1" t="s">
        <v>124</v>
      </c>
    </row>
    <row r="2" spans="1:16" x14ac:dyDescent="0.25">
      <c r="A2" t="s">
        <v>82</v>
      </c>
      <c r="B2">
        <v>9</v>
      </c>
      <c r="C2" s="2">
        <v>19.799999999999997</v>
      </c>
      <c r="D2">
        <v>8</v>
      </c>
      <c r="E2" t="s">
        <v>87</v>
      </c>
      <c r="F2">
        <v>13</v>
      </c>
      <c r="G2">
        <v>7</v>
      </c>
      <c r="H2" t="s">
        <v>84</v>
      </c>
      <c r="J2" t="s">
        <v>106</v>
      </c>
      <c r="K2">
        <v>168.13</v>
      </c>
      <c r="L2">
        <v>2</v>
      </c>
      <c r="N2" t="s">
        <v>88</v>
      </c>
      <c r="O2">
        <v>238.20999999999998</v>
      </c>
      <c r="P2">
        <v>1</v>
      </c>
    </row>
    <row r="3" spans="1:16" x14ac:dyDescent="0.25">
      <c r="A3" s="36" t="s">
        <v>26</v>
      </c>
      <c r="B3">
        <v>29</v>
      </c>
      <c r="C3" s="2">
        <v>55.420000000000009</v>
      </c>
      <c r="D3">
        <v>18</v>
      </c>
      <c r="E3" t="s">
        <v>87</v>
      </c>
      <c r="F3">
        <v>5</v>
      </c>
      <c r="G3">
        <v>3</v>
      </c>
      <c r="H3" t="s">
        <v>84</v>
      </c>
      <c r="J3" t="s">
        <v>107</v>
      </c>
      <c r="K3">
        <v>165.85000000000002</v>
      </c>
      <c r="L3">
        <v>3</v>
      </c>
      <c r="N3" t="s">
        <v>89</v>
      </c>
      <c r="O3">
        <v>156.85</v>
      </c>
      <c r="P3">
        <v>4</v>
      </c>
    </row>
    <row r="4" spans="1:16" x14ac:dyDescent="0.25">
      <c r="A4" s="36" t="s">
        <v>80</v>
      </c>
      <c r="B4">
        <v>17</v>
      </c>
      <c r="C4" s="2">
        <v>80.89</v>
      </c>
      <c r="D4">
        <v>36</v>
      </c>
      <c r="E4" t="s">
        <v>87</v>
      </c>
      <c r="F4">
        <v>7</v>
      </c>
      <c r="G4">
        <v>4</v>
      </c>
      <c r="H4" t="s">
        <v>84</v>
      </c>
      <c r="J4" t="s">
        <v>108</v>
      </c>
      <c r="K4">
        <v>88.39</v>
      </c>
      <c r="L4">
        <v>6</v>
      </c>
      <c r="N4" t="s">
        <v>90</v>
      </c>
      <c r="O4">
        <v>137</v>
      </c>
      <c r="P4">
        <v>5</v>
      </c>
    </row>
    <row r="5" spans="1:16" x14ac:dyDescent="0.25">
      <c r="A5" s="36" t="s">
        <v>25</v>
      </c>
      <c r="B5">
        <v>22</v>
      </c>
      <c r="C5" s="2">
        <v>80.42</v>
      </c>
      <c r="D5">
        <v>25</v>
      </c>
      <c r="E5" t="s">
        <v>87</v>
      </c>
      <c r="F5">
        <v>4</v>
      </c>
      <c r="G5">
        <v>2</v>
      </c>
      <c r="H5" t="s">
        <v>84</v>
      </c>
      <c r="J5" t="s">
        <v>109</v>
      </c>
      <c r="K5">
        <v>49.94</v>
      </c>
      <c r="L5">
        <v>8</v>
      </c>
      <c r="N5" t="s">
        <v>91</v>
      </c>
      <c r="O5">
        <v>121.62</v>
      </c>
      <c r="P5">
        <v>7</v>
      </c>
    </row>
    <row r="6" spans="1:16" x14ac:dyDescent="0.25">
      <c r="A6" s="36" t="s">
        <v>79</v>
      </c>
      <c r="B6">
        <v>18</v>
      </c>
      <c r="C6" s="2">
        <v>40.729999999999997</v>
      </c>
      <c r="D6">
        <v>24</v>
      </c>
      <c r="E6" t="s">
        <v>87</v>
      </c>
      <c r="F6">
        <v>7</v>
      </c>
      <c r="G6">
        <v>4</v>
      </c>
      <c r="H6" t="s">
        <v>84</v>
      </c>
      <c r="J6" t="s">
        <v>110</v>
      </c>
      <c r="K6">
        <v>14.74</v>
      </c>
      <c r="L6">
        <v>10</v>
      </c>
      <c r="N6" t="s">
        <v>92</v>
      </c>
      <c r="O6">
        <v>74.61</v>
      </c>
      <c r="P6">
        <v>9</v>
      </c>
    </row>
    <row r="7" spans="1:16" x14ac:dyDescent="0.25">
      <c r="A7" s="36" t="s">
        <v>101</v>
      </c>
      <c r="B7">
        <v>59</v>
      </c>
      <c r="C7" s="2">
        <v>71.67</v>
      </c>
      <c r="D7">
        <v>25</v>
      </c>
      <c r="E7" t="s">
        <v>87</v>
      </c>
      <c r="F7">
        <v>3</v>
      </c>
      <c r="G7">
        <v>2</v>
      </c>
      <c r="H7" t="s">
        <v>118</v>
      </c>
      <c r="J7" t="s">
        <v>111</v>
      </c>
      <c r="K7">
        <v>4.43</v>
      </c>
      <c r="L7">
        <v>12</v>
      </c>
      <c r="N7" t="s">
        <v>93</v>
      </c>
      <c r="O7">
        <v>24.44</v>
      </c>
      <c r="P7">
        <v>11</v>
      </c>
    </row>
    <row r="8" spans="1:16" x14ac:dyDescent="0.25">
      <c r="A8" s="36" t="s">
        <v>99</v>
      </c>
      <c r="B8">
        <v>61</v>
      </c>
      <c r="C8" s="2">
        <v>86.009999999999991</v>
      </c>
      <c r="D8">
        <v>39</v>
      </c>
      <c r="E8" t="s">
        <v>87</v>
      </c>
      <c r="F8">
        <v>2</v>
      </c>
      <c r="G8">
        <v>1</v>
      </c>
      <c r="H8" t="s">
        <v>118</v>
      </c>
      <c r="N8" t="s">
        <v>94</v>
      </c>
      <c r="O8">
        <v>23.309999999999995</v>
      </c>
      <c r="P8">
        <v>13</v>
      </c>
    </row>
    <row r="9" spans="1:16" x14ac:dyDescent="0.25">
      <c r="A9" s="36" t="s">
        <v>95</v>
      </c>
      <c r="B9">
        <v>60</v>
      </c>
      <c r="C9" s="2">
        <v>52.75</v>
      </c>
      <c r="D9">
        <v>24</v>
      </c>
      <c r="E9" t="s">
        <v>87</v>
      </c>
      <c r="F9">
        <v>6</v>
      </c>
      <c r="G9">
        <v>3</v>
      </c>
      <c r="H9" t="s">
        <v>118</v>
      </c>
    </row>
    <row r="10" spans="1:16" x14ac:dyDescent="0.25">
      <c r="A10" s="36" t="s">
        <v>77</v>
      </c>
      <c r="B10">
        <v>26</v>
      </c>
      <c r="C10" s="2">
        <v>11.46</v>
      </c>
      <c r="D10">
        <v>10</v>
      </c>
      <c r="E10" t="s">
        <v>87</v>
      </c>
      <c r="F10">
        <v>11</v>
      </c>
      <c r="G10">
        <v>6</v>
      </c>
      <c r="H10" t="s">
        <v>84</v>
      </c>
    </row>
    <row r="11" spans="1:16" x14ac:dyDescent="0.25">
      <c r="A11" s="36" t="s">
        <v>83</v>
      </c>
      <c r="B11">
        <v>10</v>
      </c>
      <c r="C11" s="2">
        <v>3.51</v>
      </c>
      <c r="D11">
        <v>1</v>
      </c>
      <c r="E11" t="s">
        <v>87</v>
      </c>
      <c r="F11">
        <v>13</v>
      </c>
      <c r="G11">
        <v>7</v>
      </c>
      <c r="H11" t="s">
        <v>84</v>
      </c>
    </row>
    <row r="12" spans="1:16" x14ac:dyDescent="0.25">
      <c r="A12" s="36" t="s">
        <v>96</v>
      </c>
      <c r="B12" t="s">
        <v>112</v>
      </c>
      <c r="C12" s="2">
        <v>35.64</v>
      </c>
      <c r="D12">
        <v>15</v>
      </c>
      <c r="E12" t="s">
        <v>87</v>
      </c>
      <c r="F12">
        <v>6</v>
      </c>
      <c r="G12">
        <v>3</v>
      </c>
      <c r="H12" t="s">
        <v>118</v>
      </c>
    </row>
    <row r="13" spans="1:16" x14ac:dyDescent="0.25">
      <c r="A13" s="36" t="s">
        <v>105</v>
      </c>
      <c r="B13" t="s">
        <v>117</v>
      </c>
      <c r="C13">
        <v>2.4300000000000002</v>
      </c>
      <c r="D13">
        <v>1</v>
      </c>
      <c r="E13" t="s">
        <v>87</v>
      </c>
      <c r="F13">
        <v>12</v>
      </c>
      <c r="G13">
        <v>4</v>
      </c>
      <c r="H13" t="s">
        <v>118</v>
      </c>
    </row>
    <row r="14" spans="1:16" x14ac:dyDescent="0.25">
      <c r="A14" s="36" t="s">
        <v>104</v>
      </c>
      <c r="B14">
        <v>57</v>
      </c>
      <c r="C14">
        <v>2</v>
      </c>
      <c r="D14">
        <v>1</v>
      </c>
      <c r="E14" t="s">
        <v>87</v>
      </c>
      <c r="F14">
        <v>12</v>
      </c>
      <c r="G14">
        <v>4</v>
      </c>
      <c r="H14" t="s">
        <v>118</v>
      </c>
    </row>
    <row r="15" spans="1:16" x14ac:dyDescent="0.25">
      <c r="A15" s="36" t="s">
        <v>81</v>
      </c>
      <c r="B15">
        <v>30</v>
      </c>
      <c r="C15" s="2">
        <v>81.58</v>
      </c>
      <c r="D15">
        <v>28</v>
      </c>
      <c r="E15" t="s">
        <v>87</v>
      </c>
      <c r="F15">
        <v>5</v>
      </c>
      <c r="G15">
        <v>3</v>
      </c>
      <c r="H15" t="s">
        <v>84</v>
      </c>
    </row>
    <row r="16" spans="1:16" x14ac:dyDescent="0.25">
      <c r="A16" s="36" t="s">
        <v>100</v>
      </c>
      <c r="B16" t="s">
        <v>114</v>
      </c>
      <c r="C16">
        <v>82.11999999999999</v>
      </c>
      <c r="D16">
        <v>25</v>
      </c>
      <c r="E16" t="s">
        <v>87</v>
      </c>
      <c r="F16">
        <v>2</v>
      </c>
      <c r="G16">
        <v>1</v>
      </c>
      <c r="H16" t="s">
        <v>118</v>
      </c>
    </row>
    <row r="17" spans="1:8" x14ac:dyDescent="0.25">
      <c r="A17" s="36" t="s">
        <v>31</v>
      </c>
      <c r="B17">
        <v>21</v>
      </c>
      <c r="C17" s="2">
        <v>76.429999999999993</v>
      </c>
      <c r="D17">
        <v>25</v>
      </c>
      <c r="E17" t="s">
        <v>87</v>
      </c>
      <c r="F17">
        <v>4</v>
      </c>
      <c r="G17">
        <v>2</v>
      </c>
      <c r="H17" t="s">
        <v>84</v>
      </c>
    </row>
    <row r="18" spans="1:8" x14ac:dyDescent="0.25">
      <c r="A18" s="36" t="s">
        <v>102</v>
      </c>
      <c r="B18" t="s">
        <v>115</v>
      </c>
      <c r="C18">
        <v>94.18</v>
      </c>
      <c r="D18">
        <v>38</v>
      </c>
      <c r="E18" t="s">
        <v>87</v>
      </c>
      <c r="F18">
        <v>3</v>
      </c>
      <c r="G18">
        <v>2</v>
      </c>
      <c r="H18" t="s">
        <v>118</v>
      </c>
    </row>
    <row r="19" spans="1:8" x14ac:dyDescent="0.25">
      <c r="A19" s="36" t="s">
        <v>98</v>
      </c>
      <c r="B19" t="s">
        <v>113</v>
      </c>
      <c r="C19">
        <v>30.04</v>
      </c>
      <c r="D19">
        <v>15</v>
      </c>
      <c r="E19" t="s">
        <v>87</v>
      </c>
      <c r="F19">
        <v>8</v>
      </c>
      <c r="G19">
        <v>4</v>
      </c>
      <c r="H19" t="s">
        <v>118</v>
      </c>
    </row>
    <row r="20" spans="1:8" x14ac:dyDescent="0.25">
      <c r="A20" s="36" t="s">
        <v>76</v>
      </c>
      <c r="B20">
        <v>6</v>
      </c>
      <c r="C20" s="2">
        <v>110.07000000000001</v>
      </c>
      <c r="D20">
        <v>44</v>
      </c>
      <c r="E20" t="s">
        <v>87</v>
      </c>
      <c r="F20">
        <v>1</v>
      </c>
      <c r="G20">
        <v>1</v>
      </c>
      <c r="H20" t="s">
        <v>84</v>
      </c>
    </row>
    <row r="21" spans="1:8" x14ac:dyDescent="0.25">
      <c r="A21" s="36" t="s">
        <v>30</v>
      </c>
      <c r="B21">
        <v>7</v>
      </c>
      <c r="C21" s="2">
        <v>128.13999999999999</v>
      </c>
      <c r="D21">
        <v>42</v>
      </c>
      <c r="E21" t="s">
        <v>87</v>
      </c>
      <c r="F21">
        <v>1</v>
      </c>
      <c r="G21">
        <v>1</v>
      </c>
      <c r="H21" t="s">
        <v>84</v>
      </c>
    </row>
    <row r="22" spans="1:8" x14ac:dyDescent="0.25">
      <c r="A22" s="36" t="s">
        <v>103</v>
      </c>
      <c r="B22" t="s">
        <v>116</v>
      </c>
      <c r="C22">
        <v>4.3499999999999996</v>
      </c>
      <c r="D22">
        <v>1</v>
      </c>
      <c r="E22" t="s">
        <v>87</v>
      </c>
      <c r="F22">
        <v>10</v>
      </c>
      <c r="G22">
        <v>5</v>
      </c>
      <c r="H22" t="s">
        <v>118</v>
      </c>
    </row>
    <row r="23" spans="1:8" x14ac:dyDescent="0.25">
      <c r="A23" s="36" t="s">
        <v>5</v>
      </c>
      <c r="B23">
        <v>55</v>
      </c>
      <c r="C23">
        <v>10.39</v>
      </c>
      <c r="D23">
        <v>27</v>
      </c>
      <c r="E23" t="s">
        <v>87</v>
      </c>
      <c r="F23">
        <v>10</v>
      </c>
      <c r="G23">
        <v>5</v>
      </c>
      <c r="H23" t="s">
        <v>118</v>
      </c>
    </row>
    <row r="24" spans="1:8" x14ac:dyDescent="0.25">
      <c r="A24" t="s">
        <v>97</v>
      </c>
      <c r="B24">
        <v>56</v>
      </c>
      <c r="C24">
        <v>19.899999999999999</v>
      </c>
      <c r="D24">
        <v>15</v>
      </c>
      <c r="E24" t="s">
        <v>87</v>
      </c>
      <c r="F24">
        <v>8</v>
      </c>
      <c r="G24">
        <v>4</v>
      </c>
      <c r="H24" t="s">
        <v>118</v>
      </c>
    </row>
    <row r="25" spans="1:8" x14ac:dyDescent="0.25">
      <c r="A25" s="36" t="s">
        <v>6</v>
      </c>
      <c r="B25">
        <v>14</v>
      </c>
      <c r="C25" s="2">
        <v>30.63</v>
      </c>
      <c r="D25">
        <v>12</v>
      </c>
      <c r="E25" t="s">
        <v>87</v>
      </c>
      <c r="F25">
        <v>9</v>
      </c>
      <c r="G25">
        <v>5</v>
      </c>
      <c r="H25" t="s">
        <v>84</v>
      </c>
    </row>
    <row r="26" spans="1:8" x14ac:dyDescent="0.25">
      <c r="A26" s="36" t="s">
        <v>75</v>
      </c>
      <c r="B26">
        <v>13</v>
      </c>
      <c r="C26" s="2">
        <v>43.980000000000004</v>
      </c>
      <c r="D26">
        <v>13</v>
      </c>
      <c r="E26" t="s">
        <v>87</v>
      </c>
      <c r="F26">
        <v>9</v>
      </c>
      <c r="G26">
        <v>5</v>
      </c>
      <c r="H26" t="s">
        <v>84</v>
      </c>
    </row>
    <row r="27" spans="1:8" x14ac:dyDescent="0.25">
      <c r="A27" s="36" t="s">
        <v>78</v>
      </c>
      <c r="B27">
        <v>25</v>
      </c>
      <c r="C27" s="2">
        <v>12.98</v>
      </c>
      <c r="D27">
        <v>5</v>
      </c>
      <c r="E27" t="s">
        <v>87</v>
      </c>
      <c r="F27">
        <v>11</v>
      </c>
      <c r="G27">
        <v>6</v>
      </c>
      <c r="H27" t="s">
        <v>84</v>
      </c>
    </row>
  </sheetData>
  <sortState ref="A2:H27">
    <sortCondition ref="A2:A27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F1E44-BD03-4886-BD1F-E03F0695C28D}">
  <dimension ref="A1:R26"/>
  <sheetViews>
    <sheetView workbookViewId="0">
      <pane ySplit="1" topLeftCell="A2" activePane="bottomLeft" state="frozen"/>
      <selection pane="bottomLeft" activeCell="F11" sqref="F11"/>
    </sheetView>
  </sheetViews>
  <sheetFormatPr defaultRowHeight="15" x14ac:dyDescent="0.25"/>
  <cols>
    <col min="1" max="1" width="23.140625" bestFit="1" customWidth="1"/>
    <col min="2" max="2" width="9.42578125" style="39" bestFit="1" customWidth="1"/>
    <col min="3" max="3" width="9.140625" style="39"/>
    <col min="4" max="4" width="6" style="39" bestFit="1" customWidth="1"/>
    <col min="5" max="5" width="10" style="39" bestFit="1" customWidth="1"/>
    <col min="6" max="6" width="10.28515625" style="39" bestFit="1" customWidth="1"/>
    <col min="7" max="7" width="21.5703125" style="39" bestFit="1" customWidth="1"/>
    <col min="8" max="8" width="9.140625" style="39"/>
    <col min="9" max="9" width="12.42578125" bestFit="1" customWidth="1"/>
    <col min="13" max="13" width="22.42578125" customWidth="1"/>
  </cols>
  <sheetData>
    <row r="1" spans="1:18" x14ac:dyDescent="0.25">
      <c r="A1" t="s">
        <v>9</v>
      </c>
      <c r="B1" s="39" t="s">
        <v>32</v>
      </c>
      <c r="C1" s="39" t="s">
        <v>10</v>
      </c>
      <c r="D1" s="39" t="s">
        <v>34</v>
      </c>
      <c r="E1" s="39" t="s">
        <v>13</v>
      </c>
      <c r="F1" s="39" t="s">
        <v>11</v>
      </c>
      <c r="G1" s="39" t="s">
        <v>119</v>
      </c>
      <c r="H1" s="39" t="s">
        <v>74</v>
      </c>
      <c r="M1" t="s">
        <v>102</v>
      </c>
      <c r="N1" s="39">
        <v>88.800000000000011</v>
      </c>
      <c r="O1" s="39">
        <v>1</v>
      </c>
      <c r="P1" s="39" t="s">
        <v>118</v>
      </c>
      <c r="Q1" s="39">
        <v>1</v>
      </c>
      <c r="R1" t="str">
        <f>VLOOKUP(M1,'Összesített eredmények'!A:A,1,0)</f>
        <v>Malecz Ferenc</v>
      </c>
    </row>
    <row r="2" spans="1:18" x14ac:dyDescent="0.25">
      <c r="A2" t="s">
        <v>27</v>
      </c>
      <c r="B2" s="39">
        <v>20</v>
      </c>
      <c r="C2" s="30">
        <v>0</v>
      </c>
      <c r="D2" s="39">
        <v>0</v>
      </c>
      <c r="E2" s="39" t="s">
        <v>33</v>
      </c>
      <c r="F2" s="39">
        <v>24</v>
      </c>
      <c r="G2" s="39">
        <v>8</v>
      </c>
      <c r="H2" s="39" t="s">
        <v>84</v>
      </c>
      <c r="M2" t="s">
        <v>31</v>
      </c>
      <c r="N2" s="39">
        <v>48.86</v>
      </c>
      <c r="O2" s="39">
        <v>2</v>
      </c>
      <c r="P2" s="39" t="s">
        <v>118</v>
      </c>
      <c r="Q2" s="39">
        <v>4</v>
      </c>
      <c r="R2" t="str">
        <f>VLOOKUP(M2,'Összesített eredmények'!A:A,1,0)</f>
        <v>Kovács László</v>
      </c>
    </row>
    <row r="3" spans="1:18" x14ac:dyDescent="0.25">
      <c r="A3" t="s">
        <v>82</v>
      </c>
      <c r="B3" s="39">
        <v>4</v>
      </c>
      <c r="C3" s="30">
        <v>11.77</v>
      </c>
      <c r="D3" s="39">
        <v>12</v>
      </c>
      <c r="E3" s="39" t="s">
        <v>33</v>
      </c>
      <c r="F3" s="39">
        <v>20</v>
      </c>
      <c r="G3" s="39">
        <v>7</v>
      </c>
      <c r="H3" s="39" t="s">
        <v>118</v>
      </c>
      <c r="M3" t="s">
        <v>8</v>
      </c>
      <c r="N3" s="39">
        <v>24.22</v>
      </c>
      <c r="O3" s="39">
        <v>3</v>
      </c>
      <c r="P3" s="39" t="s">
        <v>118</v>
      </c>
      <c r="Q3" s="39">
        <v>9</v>
      </c>
      <c r="R3" t="str">
        <f>VLOOKUP(M3,'Összesített eredmények'!A:A,1,0)</f>
        <v>Kovács Roland</v>
      </c>
    </row>
    <row r="4" spans="1:18" x14ac:dyDescent="0.25">
      <c r="A4" t="s">
        <v>26</v>
      </c>
      <c r="B4" s="39">
        <v>7</v>
      </c>
      <c r="C4" s="30">
        <v>12.19</v>
      </c>
      <c r="D4" s="39">
        <v>4</v>
      </c>
      <c r="E4" s="39" t="s">
        <v>33</v>
      </c>
      <c r="F4" s="39">
        <v>17</v>
      </c>
      <c r="G4" s="39">
        <v>6</v>
      </c>
      <c r="H4" s="39" t="s">
        <v>118</v>
      </c>
      <c r="M4" t="s">
        <v>17</v>
      </c>
      <c r="N4" s="39">
        <v>16.399999999999999</v>
      </c>
      <c r="O4" s="39">
        <v>4</v>
      </c>
      <c r="P4" s="39" t="s">
        <v>118</v>
      </c>
      <c r="Q4" s="39">
        <v>11</v>
      </c>
      <c r="R4" t="str">
        <f>VLOOKUP(M4,'Összesített eredmények'!A:A,1,0)</f>
        <v>Farkas Richárd</v>
      </c>
    </row>
    <row r="5" spans="1:18" x14ac:dyDescent="0.25">
      <c r="A5" t="s">
        <v>25</v>
      </c>
      <c r="B5" s="39">
        <v>38</v>
      </c>
      <c r="C5" s="30">
        <v>15.67</v>
      </c>
      <c r="D5" s="39">
        <v>21</v>
      </c>
      <c r="E5" s="39" t="s">
        <v>33</v>
      </c>
      <c r="F5" s="39">
        <v>14</v>
      </c>
      <c r="G5" s="39">
        <v>5</v>
      </c>
      <c r="H5" s="39" t="s">
        <v>85</v>
      </c>
      <c r="M5" s="38" t="s">
        <v>155</v>
      </c>
      <c r="N5" s="39">
        <v>12.2</v>
      </c>
      <c r="O5" s="39">
        <v>5</v>
      </c>
      <c r="P5" s="39" t="s">
        <v>118</v>
      </c>
      <c r="Q5" s="39">
        <v>15</v>
      </c>
      <c r="R5" t="str">
        <f>VLOOKUP(M5,'Összesített eredmények'!A:A,1,0)</f>
        <v>Hegedűs Gábor</v>
      </c>
    </row>
    <row r="6" spans="1:18" x14ac:dyDescent="0.25">
      <c r="A6" t="s">
        <v>101</v>
      </c>
      <c r="B6" s="39">
        <v>19</v>
      </c>
      <c r="C6" s="30">
        <v>23.55</v>
      </c>
      <c r="D6" s="39">
        <v>11</v>
      </c>
      <c r="E6" s="39" t="s">
        <v>33</v>
      </c>
      <c r="F6" s="39">
        <v>13</v>
      </c>
      <c r="G6" s="39">
        <v>5</v>
      </c>
      <c r="H6" s="39" t="s">
        <v>84</v>
      </c>
      <c r="M6" t="s">
        <v>26</v>
      </c>
      <c r="N6" s="39">
        <v>12.19</v>
      </c>
      <c r="O6" s="39">
        <v>6</v>
      </c>
      <c r="P6" s="39" t="s">
        <v>118</v>
      </c>
      <c r="Q6" s="39">
        <v>17</v>
      </c>
      <c r="R6" t="str">
        <f>VLOOKUP(M6,'Összesített eredmények'!A:A,1,0)</f>
        <v>Bajnóczki Zoltán</v>
      </c>
    </row>
    <row r="7" spans="1:18" x14ac:dyDescent="0.25">
      <c r="A7" t="s">
        <v>153</v>
      </c>
      <c r="B7" s="39">
        <v>34</v>
      </c>
      <c r="C7" s="30">
        <v>13.56</v>
      </c>
      <c r="D7" s="39">
        <v>7</v>
      </c>
      <c r="E7" s="39" t="s">
        <v>33</v>
      </c>
      <c r="F7" s="39">
        <v>16</v>
      </c>
      <c r="G7" s="39">
        <v>6</v>
      </c>
      <c r="H7" s="39" t="s">
        <v>85</v>
      </c>
      <c r="M7" s="36" t="s">
        <v>82</v>
      </c>
      <c r="N7" s="39">
        <v>11.77</v>
      </c>
      <c r="O7" s="39">
        <v>7</v>
      </c>
      <c r="P7" s="39" t="s">
        <v>118</v>
      </c>
      <c r="Q7" s="39">
        <v>20</v>
      </c>
      <c r="R7" t="str">
        <f>VLOOKUP(M7,'Összesített eredmények'!A:A,1,0)</f>
        <v>Babai Richárd</v>
      </c>
    </row>
    <row r="8" spans="1:18" x14ac:dyDescent="0.25">
      <c r="A8" t="s">
        <v>99</v>
      </c>
      <c r="B8" s="39">
        <v>31</v>
      </c>
      <c r="C8" s="30">
        <v>16.3</v>
      </c>
      <c r="D8" s="39">
        <v>13</v>
      </c>
      <c r="E8" s="39" t="s">
        <v>33</v>
      </c>
      <c r="F8" s="39">
        <v>12</v>
      </c>
      <c r="G8" s="39">
        <v>4</v>
      </c>
      <c r="H8" s="39" t="s">
        <v>85</v>
      </c>
      <c r="M8" t="s">
        <v>16</v>
      </c>
      <c r="N8" s="39">
        <v>6.37</v>
      </c>
      <c r="O8" s="39">
        <v>8</v>
      </c>
      <c r="P8" s="39" t="s">
        <v>118</v>
      </c>
      <c r="Q8" s="39">
        <v>22</v>
      </c>
      <c r="R8" t="str">
        <f>VLOOKUP(M8,'Összesített eredmények'!A:A,1,0)</f>
        <v>Farkas István</v>
      </c>
    </row>
    <row r="9" spans="1:18" x14ac:dyDescent="0.25">
      <c r="A9" t="s">
        <v>16</v>
      </c>
      <c r="B9" s="39">
        <v>14</v>
      </c>
      <c r="C9" s="30">
        <v>6.37</v>
      </c>
      <c r="D9" s="39">
        <v>8</v>
      </c>
      <c r="E9" s="39" t="s">
        <v>33</v>
      </c>
      <c r="F9" s="39">
        <v>22</v>
      </c>
      <c r="G9" s="39">
        <v>8</v>
      </c>
      <c r="H9" s="39" t="s">
        <v>118</v>
      </c>
      <c r="M9" s="38" t="s">
        <v>157</v>
      </c>
      <c r="N9" s="39">
        <v>4.5</v>
      </c>
      <c r="O9" s="39">
        <v>9</v>
      </c>
      <c r="P9" s="39" t="s">
        <v>118</v>
      </c>
      <c r="Q9" s="39">
        <v>23</v>
      </c>
      <c r="R9" t="str">
        <f>VLOOKUP(M9,'Összesített eredmények'!A:A,1,0)</f>
        <v>Szegedy András</v>
      </c>
    </row>
    <row r="10" spans="1:18" x14ac:dyDescent="0.25">
      <c r="A10" t="s">
        <v>154</v>
      </c>
      <c r="B10" s="39">
        <v>28</v>
      </c>
      <c r="C10" s="30">
        <v>0</v>
      </c>
      <c r="D10" s="39">
        <v>0</v>
      </c>
      <c r="E10" s="39" t="s">
        <v>33</v>
      </c>
      <c r="F10" s="39">
        <v>24</v>
      </c>
      <c r="G10" s="39">
        <v>8</v>
      </c>
      <c r="H10" s="39" t="s">
        <v>85</v>
      </c>
      <c r="M10" t="s">
        <v>98</v>
      </c>
      <c r="N10" s="39">
        <v>52.699999999999989</v>
      </c>
      <c r="O10" s="39">
        <v>1</v>
      </c>
      <c r="P10" s="39" t="s">
        <v>84</v>
      </c>
      <c r="Q10" s="39">
        <v>2</v>
      </c>
      <c r="R10" t="str">
        <f>VLOOKUP(M10,'Összesített eredmények'!A:A,1,0)</f>
        <v>Marton Zsigmond</v>
      </c>
    </row>
    <row r="11" spans="1:18" x14ac:dyDescent="0.25">
      <c r="A11" t="s">
        <v>17</v>
      </c>
      <c r="B11" s="39">
        <v>13</v>
      </c>
      <c r="C11" s="30">
        <v>16.399999999999999</v>
      </c>
      <c r="D11" s="39">
        <v>12</v>
      </c>
      <c r="E11" s="39" t="s">
        <v>33</v>
      </c>
      <c r="F11" s="39">
        <v>11</v>
      </c>
      <c r="G11" s="39">
        <v>4</v>
      </c>
      <c r="H11" s="39" t="s">
        <v>118</v>
      </c>
      <c r="M11" t="s">
        <v>86</v>
      </c>
      <c r="N11" s="39">
        <v>42.180000000000007</v>
      </c>
      <c r="O11" s="39">
        <v>2</v>
      </c>
      <c r="P11" s="39" t="s">
        <v>84</v>
      </c>
      <c r="Q11" s="39">
        <v>5</v>
      </c>
      <c r="R11" t="str">
        <f>VLOOKUP(M11,'Összesített eredmények'!A:A,1,0)</f>
        <v>Zsolnai László</v>
      </c>
    </row>
    <row r="12" spans="1:18" x14ac:dyDescent="0.25">
      <c r="A12" t="s">
        <v>29</v>
      </c>
      <c r="B12" s="39">
        <v>35</v>
      </c>
      <c r="C12" s="30">
        <v>12.129999999999999</v>
      </c>
      <c r="D12" s="39">
        <v>4</v>
      </c>
      <c r="E12" s="39" t="s">
        <v>33</v>
      </c>
      <c r="F12" s="39">
        <v>19</v>
      </c>
      <c r="G12" s="39">
        <v>7</v>
      </c>
      <c r="H12" s="39" t="s">
        <v>85</v>
      </c>
      <c r="M12" t="s">
        <v>30</v>
      </c>
      <c r="N12" s="39">
        <v>35.67</v>
      </c>
      <c r="O12" s="39">
        <v>3</v>
      </c>
      <c r="P12" s="39" t="s">
        <v>84</v>
      </c>
      <c r="Q12" s="39">
        <v>7</v>
      </c>
      <c r="R12" t="str">
        <f>VLOOKUP(M12,'Összesített eredmények'!A:A,1,0)</f>
        <v>Nagy Balázs</v>
      </c>
    </row>
    <row r="13" spans="1:18" x14ac:dyDescent="0.25">
      <c r="A13" t="s">
        <v>155</v>
      </c>
      <c r="B13" s="39">
        <v>8</v>
      </c>
      <c r="C13" s="30">
        <v>12.2</v>
      </c>
      <c r="D13" s="39">
        <v>14</v>
      </c>
      <c r="E13" s="39" t="s">
        <v>33</v>
      </c>
      <c r="F13" s="39">
        <v>15</v>
      </c>
      <c r="G13" s="39">
        <v>5</v>
      </c>
      <c r="H13" s="39" t="s">
        <v>118</v>
      </c>
      <c r="M13" t="s">
        <v>15</v>
      </c>
      <c r="N13" s="30">
        <v>32.01</v>
      </c>
      <c r="O13" s="39">
        <v>4</v>
      </c>
      <c r="P13" s="39" t="s">
        <v>84</v>
      </c>
      <c r="Q13" s="39">
        <v>10</v>
      </c>
      <c r="R13" t="str">
        <f>VLOOKUP(M13,'Összesített eredmények'!A:A,1,0)</f>
        <v>Horváth György</v>
      </c>
    </row>
    <row r="14" spans="1:18" x14ac:dyDescent="0.25">
      <c r="A14" t="s">
        <v>15</v>
      </c>
      <c r="B14" s="39">
        <v>17</v>
      </c>
      <c r="C14" s="30">
        <v>32.01</v>
      </c>
      <c r="D14" s="39">
        <v>15</v>
      </c>
      <c r="E14" s="39" t="s">
        <v>33</v>
      </c>
      <c r="F14" s="39">
        <v>10</v>
      </c>
      <c r="G14" s="39">
        <v>4</v>
      </c>
      <c r="H14" s="39" t="s">
        <v>84</v>
      </c>
      <c r="M14" t="s">
        <v>101</v>
      </c>
      <c r="N14" s="30">
        <v>23.55</v>
      </c>
      <c r="O14" s="39">
        <v>5</v>
      </c>
      <c r="P14" s="39" t="s">
        <v>84</v>
      </c>
      <c r="Q14" s="39">
        <v>13</v>
      </c>
      <c r="R14" t="str">
        <f>VLOOKUP(M14,'Összesített eredmények'!A:A,1,0)</f>
        <v>Bandzi László</v>
      </c>
    </row>
    <row r="15" spans="1:18" x14ac:dyDescent="0.25">
      <c r="A15" t="s">
        <v>100</v>
      </c>
      <c r="B15" s="39">
        <v>29</v>
      </c>
      <c r="C15" s="30">
        <v>27.04</v>
      </c>
      <c r="D15" s="39">
        <v>16</v>
      </c>
      <c r="E15" s="39" t="s">
        <v>33</v>
      </c>
      <c r="F15" s="39">
        <v>8</v>
      </c>
      <c r="G15" s="39">
        <v>3</v>
      </c>
      <c r="H15" s="39" t="s">
        <v>85</v>
      </c>
      <c r="M15" t="s">
        <v>5</v>
      </c>
      <c r="N15" s="39">
        <v>4.17</v>
      </c>
      <c r="O15" s="39">
        <v>6</v>
      </c>
      <c r="P15" s="39" t="s">
        <v>84</v>
      </c>
      <c r="Q15" s="39">
        <v>18</v>
      </c>
      <c r="R15" t="str">
        <f>VLOOKUP(M15,'Összesített eredmények'!A:A,1,0)</f>
        <v>Nagy Tibor</v>
      </c>
    </row>
    <row r="16" spans="1:18" x14ac:dyDescent="0.25">
      <c r="A16" t="s">
        <v>31</v>
      </c>
      <c r="B16" s="39">
        <v>5</v>
      </c>
      <c r="C16" s="30">
        <v>48.86</v>
      </c>
      <c r="D16" s="39">
        <v>27</v>
      </c>
      <c r="E16" s="39" t="s">
        <v>33</v>
      </c>
      <c r="F16" s="39">
        <v>4</v>
      </c>
      <c r="G16" s="39">
        <v>2</v>
      </c>
      <c r="H16" s="39" t="s">
        <v>118</v>
      </c>
      <c r="M16" t="s">
        <v>75</v>
      </c>
      <c r="N16" s="39">
        <v>4.04</v>
      </c>
      <c r="O16" s="39">
        <v>7</v>
      </c>
      <c r="P16" s="39" t="s">
        <v>84</v>
      </c>
      <c r="Q16" s="39">
        <v>21</v>
      </c>
      <c r="R16" t="str">
        <f>VLOOKUP(M16,'Összesített eredmények'!A:A,1,0)</f>
        <v>Szabó István</v>
      </c>
    </row>
    <row r="17" spans="1:18" x14ac:dyDescent="0.25">
      <c r="A17" t="s">
        <v>8</v>
      </c>
      <c r="B17" s="39">
        <v>10</v>
      </c>
      <c r="C17" s="30">
        <v>24.22</v>
      </c>
      <c r="D17" s="39">
        <v>14</v>
      </c>
      <c r="E17" s="39" t="s">
        <v>33</v>
      </c>
      <c r="F17" s="39">
        <v>9</v>
      </c>
      <c r="G17" s="39">
        <v>3</v>
      </c>
      <c r="H17" s="39" t="s">
        <v>118</v>
      </c>
      <c r="M17" t="s">
        <v>27</v>
      </c>
      <c r="N17" s="30">
        <v>0</v>
      </c>
      <c r="O17" s="39">
        <v>8</v>
      </c>
      <c r="P17" s="39" t="s">
        <v>84</v>
      </c>
      <c r="Q17" s="39">
        <v>24.5</v>
      </c>
      <c r="R17" t="str">
        <f>VLOOKUP(M17,'Összesített eredmények'!A:A,1,0)</f>
        <v>Andrási Gyula</v>
      </c>
    </row>
    <row r="18" spans="1:18" x14ac:dyDescent="0.25">
      <c r="A18" t="s">
        <v>7</v>
      </c>
      <c r="B18" s="39">
        <v>32</v>
      </c>
      <c r="C18" s="30">
        <v>29.03</v>
      </c>
      <c r="D18" s="39">
        <v>14</v>
      </c>
      <c r="E18" s="39" t="s">
        <v>33</v>
      </c>
      <c r="F18" s="39">
        <v>6</v>
      </c>
      <c r="G18" s="39">
        <v>2</v>
      </c>
      <c r="H18" s="39" t="s">
        <v>85</v>
      </c>
      <c r="M18" s="38" t="s">
        <v>156</v>
      </c>
      <c r="N18" s="30">
        <v>32.43</v>
      </c>
      <c r="O18" s="39">
        <v>1</v>
      </c>
      <c r="P18" s="39" t="s">
        <v>85</v>
      </c>
      <c r="Q18" s="39">
        <v>3</v>
      </c>
      <c r="R18" t="str">
        <f>VLOOKUP(M18,'Összesített eredmények'!A:A,1,0)</f>
        <v>Krasznai Zsolt</v>
      </c>
    </row>
    <row r="19" spans="1:18" x14ac:dyDescent="0.25">
      <c r="A19" t="s">
        <v>156</v>
      </c>
      <c r="B19" s="39">
        <v>37</v>
      </c>
      <c r="C19" s="30">
        <v>32.43</v>
      </c>
      <c r="D19" s="39">
        <v>13</v>
      </c>
      <c r="E19" s="39" t="s">
        <v>33</v>
      </c>
      <c r="F19" s="39">
        <v>3</v>
      </c>
      <c r="G19" s="39">
        <v>1</v>
      </c>
      <c r="H19" s="39" t="s">
        <v>85</v>
      </c>
      <c r="M19" t="s">
        <v>7</v>
      </c>
      <c r="N19" s="30">
        <v>29.03</v>
      </c>
      <c r="O19" s="39">
        <v>2</v>
      </c>
      <c r="P19" s="39" t="s">
        <v>85</v>
      </c>
      <c r="Q19" s="39">
        <v>6</v>
      </c>
      <c r="R19" t="str">
        <f>VLOOKUP(M19,'Összesített eredmények'!A:A,1,0)</f>
        <v>Körmendi János</v>
      </c>
    </row>
    <row r="20" spans="1:18" x14ac:dyDescent="0.25">
      <c r="A20" t="s">
        <v>102</v>
      </c>
      <c r="B20" s="39">
        <v>2</v>
      </c>
      <c r="C20" s="39">
        <v>88.800000000000011</v>
      </c>
      <c r="D20" s="39">
        <v>32</v>
      </c>
      <c r="E20" s="39" t="s">
        <v>33</v>
      </c>
      <c r="F20" s="39">
        <v>1</v>
      </c>
      <c r="G20" s="39">
        <v>1</v>
      </c>
      <c r="H20" s="39" t="s">
        <v>118</v>
      </c>
      <c r="M20" t="s">
        <v>100</v>
      </c>
      <c r="N20" s="30">
        <v>27.04</v>
      </c>
      <c r="O20" s="39">
        <v>3</v>
      </c>
      <c r="P20" s="39" t="s">
        <v>85</v>
      </c>
      <c r="Q20" s="39">
        <v>8</v>
      </c>
      <c r="R20" t="str">
        <f>VLOOKUP(M20,'Összesített eredmények'!A:A,1,0)</f>
        <v>Kovács Attila</v>
      </c>
    </row>
    <row r="21" spans="1:18" x14ac:dyDescent="0.25">
      <c r="A21" t="s">
        <v>98</v>
      </c>
      <c r="B21" s="39">
        <v>26</v>
      </c>
      <c r="C21" s="39">
        <v>52.699999999999989</v>
      </c>
      <c r="D21" s="39">
        <v>21</v>
      </c>
      <c r="E21" s="39" t="s">
        <v>33</v>
      </c>
      <c r="F21" s="39">
        <v>2</v>
      </c>
      <c r="G21" s="39">
        <v>1</v>
      </c>
      <c r="H21" s="39" t="s">
        <v>84</v>
      </c>
      <c r="M21" t="s">
        <v>99</v>
      </c>
      <c r="N21" s="30">
        <v>16.3</v>
      </c>
      <c r="O21" s="39">
        <v>4</v>
      </c>
      <c r="P21" s="39" t="s">
        <v>85</v>
      </c>
      <c r="Q21" s="39">
        <v>12</v>
      </c>
      <c r="R21" t="str">
        <f>VLOOKUP(M21,'Összesített eredmények'!A:A,1,0)</f>
        <v>Bánhegyi Gergely</v>
      </c>
    </row>
    <row r="22" spans="1:18" x14ac:dyDescent="0.25">
      <c r="A22" t="s">
        <v>30</v>
      </c>
      <c r="B22" s="39">
        <v>23</v>
      </c>
      <c r="C22" s="39">
        <v>35.67</v>
      </c>
      <c r="D22" s="39">
        <v>8</v>
      </c>
      <c r="E22" s="39" t="s">
        <v>33</v>
      </c>
      <c r="F22" s="39">
        <v>7</v>
      </c>
      <c r="G22" s="39">
        <v>3</v>
      </c>
      <c r="H22" s="39" t="s">
        <v>84</v>
      </c>
      <c r="M22" t="s">
        <v>25</v>
      </c>
      <c r="N22" s="30">
        <v>15.67</v>
      </c>
      <c r="O22" s="39">
        <v>5</v>
      </c>
      <c r="P22" s="39" t="s">
        <v>85</v>
      </c>
      <c r="Q22" s="39">
        <v>14</v>
      </c>
      <c r="R22" t="str">
        <f>VLOOKUP(M22,'Összesített eredmények'!A:A,1,0)</f>
        <v>Ballabás László</v>
      </c>
    </row>
    <row r="23" spans="1:18" x14ac:dyDescent="0.25">
      <c r="A23" t="s">
        <v>5</v>
      </c>
      <c r="B23" s="39">
        <v>22</v>
      </c>
      <c r="C23" s="39">
        <v>4.17</v>
      </c>
      <c r="D23" s="39">
        <v>1</v>
      </c>
      <c r="E23" s="39" t="s">
        <v>33</v>
      </c>
      <c r="F23" s="39">
        <v>18</v>
      </c>
      <c r="G23" s="39">
        <v>6</v>
      </c>
      <c r="H23" s="39" t="s">
        <v>84</v>
      </c>
      <c r="M23" s="38" t="s">
        <v>153</v>
      </c>
      <c r="N23" s="30">
        <v>13.56</v>
      </c>
      <c r="O23" s="39">
        <v>6</v>
      </c>
      <c r="P23" s="39" t="s">
        <v>85</v>
      </c>
      <c r="Q23" s="39">
        <v>16</v>
      </c>
      <c r="R23" t="str">
        <f>VLOOKUP(M23,'Összesített eredmények'!A:A,1,0)</f>
        <v>Bánfalvi László</v>
      </c>
    </row>
    <row r="24" spans="1:18" x14ac:dyDescent="0.25">
      <c r="A24" t="s">
        <v>75</v>
      </c>
      <c r="B24" s="39">
        <v>25</v>
      </c>
      <c r="C24" s="39">
        <v>4.04</v>
      </c>
      <c r="D24" s="39">
        <v>6</v>
      </c>
      <c r="E24" s="39" t="s">
        <v>33</v>
      </c>
      <c r="F24" s="39">
        <v>21</v>
      </c>
      <c r="G24" s="39">
        <v>7</v>
      </c>
      <c r="H24" s="39" t="s">
        <v>84</v>
      </c>
      <c r="M24" t="s">
        <v>29</v>
      </c>
      <c r="N24" s="30">
        <v>12.129999999999999</v>
      </c>
      <c r="O24" s="39">
        <v>7</v>
      </c>
      <c r="P24" s="39" t="s">
        <v>85</v>
      </c>
      <c r="Q24" s="39">
        <v>19</v>
      </c>
      <c r="R24" t="str">
        <f>VLOOKUP(M24,'Összesített eredmények'!A:A,1,0)</f>
        <v>Győri Gábor</v>
      </c>
    </row>
    <row r="25" spans="1:18" x14ac:dyDescent="0.25">
      <c r="A25" t="s">
        <v>157</v>
      </c>
      <c r="B25" s="39">
        <v>11</v>
      </c>
      <c r="C25" s="39">
        <v>4.5</v>
      </c>
      <c r="D25" s="39">
        <v>6</v>
      </c>
      <c r="E25" s="39" t="s">
        <v>33</v>
      </c>
      <c r="F25" s="39">
        <v>23</v>
      </c>
      <c r="G25" s="39">
        <v>9</v>
      </c>
      <c r="H25" s="39" t="s">
        <v>118</v>
      </c>
      <c r="M25" s="38" t="s">
        <v>154</v>
      </c>
      <c r="N25" s="30">
        <v>0</v>
      </c>
      <c r="O25" s="39">
        <v>8</v>
      </c>
      <c r="P25" s="39" t="s">
        <v>85</v>
      </c>
      <c r="Q25" s="39">
        <v>24.5</v>
      </c>
      <c r="R25" t="str">
        <f>VLOOKUP(M25,'Összesített eredmények'!A:A,1,0)</f>
        <v>Farkas József</v>
      </c>
    </row>
    <row r="26" spans="1:18" x14ac:dyDescent="0.25">
      <c r="A26" t="s">
        <v>86</v>
      </c>
      <c r="B26" s="39">
        <v>16</v>
      </c>
      <c r="C26" s="39">
        <v>42.180000000000007</v>
      </c>
      <c r="D26" s="39">
        <v>14</v>
      </c>
      <c r="E26" s="39" t="s">
        <v>33</v>
      </c>
      <c r="F26" s="39">
        <v>5</v>
      </c>
      <c r="G26" s="39">
        <v>2</v>
      </c>
      <c r="H26" s="39" t="s">
        <v>84</v>
      </c>
    </row>
  </sheetData>
  <autoFilter ref="A1:H26" xr:uid="{83410248-22D1-4B1F-AEA5-AE8AA2FF9C46}"/>
  <sortState ref="M18:P25">
    <sortCondition ref="O18:O2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554D0-743B-4024-9AD1-AE1C28AD9A56}">
  <dimension ref="A1:H19"/>
  <sheetViews>
    <sheetView workbookViewId="0">
      <selection activeCell="G5" sqref="G5"/>
    </sheetView>
  </sheetViews>
  <sheetFormatPr defaultRowHeight="15" x14ac:dyDescent="0.25"/>
  <cols>
    <col min="1" max="1" width="23.140625" bestFit="1" customWidth="1"/>
    <col min="2" max="2" width="5.140625" bestFit="1" customWidth="1"/>
    <col min="4" max="4" width="6" bestFit="1" customWidth="1"/>
    <col min="5" max="5" width="10" bestFit="1" customWidth="1"/>
    <col min="7" max="7" width="21.5703125" bestFit="1" customWidth="1"/>
    <col min="9" max="9" width="12.42578125" bestFit="1" customWidth="1"/>
    <col min="10" max="10" width="24.42578125" bestFit="1" customWidth="1"/>
  </cols>
  <sheetData>
    <row r="1" spans="1:8" x14ac:dyDescent="0.25">
      <c r="A1" t="s">
        <v>9</v>
      </c>
      <c r="B1" t="s">
        <v>32</v>
      </c>
      <c r="C1" t="s">
        <v>10</v>
      </c>
      <c r="D1" t="s">
        <v>34</v>
      </c>
      <c r="E1" t="s">
        <v>13</v>
      </c>
      <c r="F1" t="s">
        <v>11</v>
      </c>
      <c r="G1" t="s">
        <v>119</v>
      </c>
      <c r="H1" t="s">
        <v>74</v>
      </c>
    </row>
    <row r="2" spans="1:8" x14ac:dyDescent="0.25">
      <c r="C2" s="2"/>
    </row>
    <row r="3" spans="1:8" x14ac:dyDescent="0.25">
      <c r="C3" s="2"/>
    </row>
    <row r="4" spans="1:8" x14ac:dyDescent="0.25">
      <c r="C4" s="2"/>
    </row>
    <row r="5" spans="1:8" x14ac:dyDescent="0.25">
      <c r="C5" s="2"/>
    </row>
    <row r="6" spans="1:8" x14ac:dyDescent="0.25">
      <c r="C6" s="2"/>
    </row>
    <row r="7" spans="1:8" x14ac:dyDescent="0.25">
      <c r="C7" s="2"/>
    </row>
    <row r="8" spans="1:8" x14ac:dyDescent="0.25">
      <c r="C8" s="2"/>
    </row>
    <row r="9" spans="1:8" x14ac:dyDescent="0.25">
      <c r="C9" s="2"/>
    </row>
    <row r="10" spans="1:8" x14ac:dyDescent="0.25">
      <c r="C10" s="2"/>
    </row>
    <row r="11" spans="1:8" x14ac:dyDescent="0.25">
      <c r="C11" s="2"/>
    </row>
    <row r="12" spans="1:8" x14ac:dyDescent="0.25">
      <c r="C12" s="2"/>
    </row>
    <row r="13" spans="1:8" x14ac:dyDescent="0.25">
      <c r="C13" s="2"/>
    </row>
    <row r="14" spans="1:8" x14ac:dyDescent="0.25">
      <c r="C14" s="2"/>
    </row>
    <row r="15" spans="1:8" x14ac:dyDescent="0.25">
      <c r="C15" s="2"/>
    </row>
    <row r="16" spans="1:8" x14ac:dyDescent="0.25">
      <c r="C16" s="2"/>
    </row>
    <row r="17" spans="3:3" x14ac:dyDescent="0.25">
      <c r="C17" s="2"/>
    </row>
    <row r="18" spans="3:3" x14ac:dyDescent="0.25">
      <c r="C18" s="2"/>
    </row>
    <row r="19" spans="3:3" x14ac:dyDescent="0.25">
      <c r="C1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Összesített eredmények</vt:lpstr>
      <vt:lpstr>fogott összsúly</vt:lpstr>
      <vt:lpstr>fogott darabszám</vt:lpstr>
      <vt:lpstr>legnagyobb hal</vt:lpstr>
      <vt:lpstr>helyezési sorrend</vt:lpstr>
      <vt:lpstr>2026.03.29 évnyitó egyéni</vt:lpstr>
      <vt:lpstr>2026.05.9-10 20 órás páros</vt:lpstr>
      <vt:lpstr>2026.06.07 nyári egyéni</vt:lpstr>
      <vt:lpstr>2026.08.8-9. éjszakai páros</vt:lpstr>
      <vt:lpstr>2026.09.20. évzáró egyéni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CWS-boco User</dc:creator>
  <cp:lastModifiedBy>CWS-boco User</cp:lastModifiedBy>
  <dcterms:created xsi:type="dcterms:W3CDTF">2024-05-13T19:30:22Z</dcterms:created>
  <dcterms:modified xsi:type="dcterms:W3CDTF">2026-06-18T20:02:13Z</dcterms:modified>
</cp:coreProperties>
</file>